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1100" windowHeight="5550" tabRatio="532" activeTab="0"/>
  </bookViews>
  <sheets>
    <sheet name="Прилож4" sheetId="1" r:id="rId1"/>
    <sheet name="Прилож3" sheetId="2" r:id="rId2"/>
    <sheet name="прилож6" sheetId="3" r:id="rId3"/>
    <sheet name="прилож5" sheetId="4" r:id="rId4"/>
    <sheet name="прилож2" sheetId="5" r:id="rId5"/>
    <sheet name="Прилож1" sheetId="6" r:id="rId6"/>
    <sheet name="ведфункц" sheetId="7" state="hidden" r:id="rId7"/>
  </sheets>
  <externalReferences>
    <externalReference r:id="rId10"/>
  </externalReferences>
  <definedNames>
    <definedName name="_xlnm.Print_Area" localSheetId="6">'ведфункц'!$A$1:$H$111</definedName>
  </definedNames>
  <calcPr fullCalcOnLoad="1"/>
</workbook>
</file>

<file path=xl/sharedStrings.xml><?xml version="1.0" encoding="utf-8"?>
<sst xmlns="http://schemas.openxmlformats.org/spreadsheetml/2006/main" count="2248" uniqueCount="448">
  <si>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</si>
  <si>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</si>
  <si>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</si>
  <si>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</si>
  <si>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</si>
  <si>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</si>
  <si>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</si>
  <si>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</si>
  <si>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</si>
  <si>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</si>
  <si>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</si>
  <si>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</si>
  <si>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</si>
  <si>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</si>
  <si>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</si>
  <si>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</si>
  <si>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</si>
  <si>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</si>
  <si>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</si>
  <si>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</si>
  <si>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</si>
  <si>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</si>
  <si>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</si>
  <si>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</si>
  <si>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</si>
  <si>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</si>
  <si>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</si>
  <si>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</si>
  <si>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</si>
  <si>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</si>
  <si>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</si>
  <si>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</si>
  <si>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</si>
  <si>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</si>
  <si>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</si>
  <si>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</si>
  <si>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</si>
  <si>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</si>
  <si>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</si>
  <si>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</si>
  <si>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</si>
  <si>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</si>
  <si>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</si>
  <si>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</si>
  <si>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</si>
  <si>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</si>
  <si>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</si>
  <si>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</si>
  <si>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</si>
  <si>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</si>
  <si>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</si>
  <si>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</si>
  <si>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</si>
  <si>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</si>
  <si>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</si>
  <si>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</si>
  <si>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</si>
  <si>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</si>
  <si>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</si>
  <si>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</si>
  <si>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</si>
  <si>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</si>
  <si>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</si>
  <si>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</si>
  <si>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</si>
  <si>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</si>
  <si>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</si>
  <si>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</si>
  <si>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</si>
  <si>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</si>
  <si>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</si>
  <si>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</si>
  <si>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</si>
  <si>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</si>
  <si>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</si>
  <si>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</si>
  <si>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</si>
  <si>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</si>
  <si>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</si>
  <si>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</si>
  <si>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</si>
  <si>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</si>
  <si>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</si>
  <si>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</si>
  <si>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</si>
  <si>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</si>
  <si>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</si>
  <si>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</si>
  <si>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</si>
  <si>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</si>
  <si>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</si>
  <si>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</si>
  <si>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</si>
  <si>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</si>
  <si>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</si>
  <si>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</si>
  <si>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</si>
  <si>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</si>
  <si>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</si>
  <si>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</si>
  <si>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</si>
  <si>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</si>
  <si>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</si>
  <si>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</si>
  <si>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</si>
  <si>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</si>
  <si>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</si>
  <si>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</si>
  <si>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</si>
  <si>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</si>
  <si>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</si>
  <si>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</si>
  <si>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</si>
  <si>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</si>
  <si>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</si>
  <si>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</si>
  <si>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</si>
  <si>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</si>
  <si>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</si>
  <si>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</si>
  <si>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</si>
  <si>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</si>
  <si>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</si>
  <si>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</si>
  <si>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</si>
  <si>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</si>
  <si>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</si>
  <si>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</si>
  <si>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</si>
  <si>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</si>
  <si>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</si>
  <si>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</si>
  <si>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</si>
  <si>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</si>
  <si>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</si>
  <si>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</si>
  <si>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</si>
  <si>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</si>
  <si>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</si>
  <si>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</si>
  <si>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</si>
  <si>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</si>
  <si>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</si>
  <si>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</si>
  <si>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</si>
  <si>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</si>
  <si>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</si>
  <si>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</si>
  <si>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</si>
  <si>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</si>
  <si>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</si>
  <si>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</si>
  <si>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</si>
  <si>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</si>
  <si>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</si>
  <si>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</si>
  <si>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</si>
  <si>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</si>
  <si>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</si>
  <si>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</si>
  <si>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</si>
  <si>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</si>
  <si>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</si>
  <si>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</si>
  <si>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</si>
  <si>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</si>
  <si>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</si>
  <si>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</si>
  <si>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</si>
  <si>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</si>
  <si>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</si>
  <si>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</si>
  <si>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</si>
  <si>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</si>
  <si>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</si>
  <si>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</si>
  <si>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</si>
  <si>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</si>
  <si>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</si>
  <si>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</si>
  <si>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</si>
  <si>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</si>
  <si>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</si>
  <si>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</si>
  <si>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</si>
  <si>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</si>
  <si>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</si>
  <si>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</si>
  <si>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</si>
  <si>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</si>
  <si>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</si>
  <si>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</si>
  <si>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</si>
  <si>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</si>
  <si>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</si>
  <si>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</si>
  <si>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</si>
  <si>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</si>
  <si>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</si>
  <si>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</si>
  <si>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</si>
  <si>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</si>
  <si>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</si>
  <si>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</si>
  <si>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</si>
  <si>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</si>
  <si>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</si>
  <si>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</si>
  <si>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Объем взаимствований -  всего</t>
  </si>
  <si>
    <t>в том числе</t>
  </si>
  <si>
    <t>1. Кредиты</t>
  </si>
  <si>
    <t>2. Ценные бумаги</t>
  </si>
  <si>
    <t>3. Обязательства</t>
  </si>
  <si>
    <t>Приложение 5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</si>
  <si>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</si>
  <si>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</si>
  <si>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</si>
  <si>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</si>
  <si>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</si>
  <si>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</si>
  <si>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</si>
  <si>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</si>
  <si>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</si>
  <si>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</si>
  <si>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</si>
  <si>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</si>
  <si>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</si>
  <si>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</si>
  <si>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Источники финансирования дефицита бюджета - всего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</si>
  <si>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</si>
  <si>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</si>
  <si>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</si>
  <si>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</si>
  <si>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</si>
  <si>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</si>
  <si>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</si>
  <si>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</si>
  <si>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</si>
  <si>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</si>
  <si>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</si>
  <si>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</si>
  <si>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</si>
  <si>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</si>
  <si>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</si>
  <si>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</si>
  <si>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</si>
  <si>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</si>
  <si>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</si>
  <si>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</si>
  <si>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</si>
  <si>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</si>
  <si>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</si>
  <si>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</si>
  <si>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</si>
  <si>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</si>
  <si>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</si>
  <si>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</si>
  <si>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</si>
  <si>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</si>
  <si>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</si>
  <si>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</si>
  <si>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</si>
  <si>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</si>
  <si>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</si>
  <si>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</si>
  <si>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</si>
  <si>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</si>
  <si>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</si>
  <si>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</si>
  <si>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</si>
  <si>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</si>
  <si>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</si>
  <si>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</si>
  <si>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</si>
  <si>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</si>
  <si>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</si>
  <si>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</si>
  <si>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</si>
  <si>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</si>
  <si>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</si>
  <si>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</si>
  <si>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</si>
  <si>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</si>
  <si>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</si>
  <si>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</si>
  <si>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</si>
  <si>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</si>
  <si>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</si>
  <si>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91 2 01 73110</t>
  </si>
  <si>
    <t>91 3 00 00000</t>
  </si>
  <si>
    <t>91 3 14 90150</t>
  </si>
  <si>
    <t>91 4 00 00000</t>
  </si>
  <si>
    <t>91 4 04 90190</t>
  </si>
  <si>
    <t>91 4 05 90200</t>
  </si>
  <si>
    <t>91 0 00 00000</t>
  </si>
  <si>
    <t>91 6 08 00000</t>
  </si>
  <si>
    <t>91 6 08 90230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</si>
  <si>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</si>
  <si>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</si>
  <si>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</si>
  <si>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</si>
  <si>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</si>
  <si>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</si>
  <si>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</si>
  <si>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</si>
  <si>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</si>
  <si>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0 0 00 00000</t>
  </si>
  <si>
    <t xml:space="preserve"> 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</si>
  <si>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</si>
  <si>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</si>
  <si>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</si>
  <si>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</si>
  <si>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</si>
  <si>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</si>
  <si>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</si>
  <si>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</si>
  <si>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</si>
  <si>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</si>
  <si>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</si>
  <si>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2020 год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</si>
  <si>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</si>
  <si>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</si>
  <si>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</si>
  <si>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</si>
  <si>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</si>
  <si>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</si>
  <si>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</si>
  <si>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</si>
  <si>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</si>
  <si>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</si>
  <si>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</si>
  <si>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</si>
  <si>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</si>
  <si>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</si>
  <si>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</si>
  <si>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</si>
  <si>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</si>
  <si>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</si>
  <si>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91 4 04 00000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</si>
  <si>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</si>
  <si>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</si>
  <si>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</si>
  <si>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91 9 13 00000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</si>
  <si>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</si>
  <si>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</si>
  <si>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</si>
  <si>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</si>
  <si>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</si>
  <si>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</si>
  <si>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</si>
  <si>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</si>
  <si>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</si>
  <si>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</si>
  <si>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91 8 75 00000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</si>
  <si>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</si>
  <si>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</si>
  <si>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</si>
  <si>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</si>
  <si>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Проведение мероприятий, направленных на повышение доверия 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</si>
  <si>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91 8 77 90280</t>
  </si>
  <si>
    <t>91 7 06 90220</t>
  </si>
  <si>
    <t>91 5 05 90320</t>
  </si>
  <si>
    <t>МЕроприятия в области коммунального хозяйства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</si>
  <si>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</si>
  <si>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</si>
  <si>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91 7 12 90350</t>
  </si>
  <si>
    <t>2021 год</t>
  </si>
  <si>
    <t>2 02 15001 10 0000 150</t>
  </si>
  <si>
    <t>2 02 15002 10 0000 150</t>
  </si>
  <si>
    <t>2 02 29999 10 0000 150</t>
  </si>
  <si>
    <t>2 02 35118 10 0000 150</t>
  </si>
  <si>
    <t>2 02 49999 10 0000 150</t>
  </si>
  <si>
    <t>на 1 января 2022г.</t>
  </si>
  <si>
    <t>030 01 05 02 00 00 0000 500</t>
  </si>
  <si>
    <t>030 01 05 02 00 10 0000 500</t>
  </si>
  <si>
    <t>030 01 05 02 01 10 0000 510</t>
  </si>
  <si>
    <t>030 01 05 00 00 00 0000 600</t>
  </si>
  <si>
    <t>030 01 05 02 00 10 0000 600</t>
  </si>
  <si>
    <t>030 01 05 02 01 10 0000 610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</si>
  <si>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</si>
  <si>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</si>
  <si>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</si>
  <si>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</si>
  <si>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</si>
  <si>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</si>
  <si>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 xml:space="preserve">            дефицита  бюджета муниципального образования "Гаханское"  на 2020 год и плановый период 2021-2022 гг.</t>
  </si>
  <si>
    <t>2022 год</t>
  </si>
  <si>
    <t>на 1 января 2021 г.</t>
  </si>
  <si>
    <t>на 1 января 2023г.</t>
  </si>
  <si>
    <t>Увеличение ст-ти основных средств</t>
  </si>
  <si>
    <t xml:space="preserve">Муниципальная целевая программа «Обеспечение пожарной безопасности в границах МО «Гаханское» на 2017-2020 гг. 
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</si>
  <si>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</si>
  <si>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</si>
  <si>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</si>
  <si>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РЕАЛИЗАЦИЯ МЕРОПРИЯТИЙ ПЕРЕЧНЯ НАРОДНЫХ ИНИЦИАТИВ (ОБЛАСТНОЙ БЮДЖЕТ)</t>
  </si>
  <si>
    <t>91 4 06 S2370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</si>
  <si>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</si>
  <si>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</si>
  <si>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</si>
  <si>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030 2 02 02000 00 0000 150</t>
  </si>
  <si>
    <t>030 2 02 29999 10 0000 150</t>
  </si>
  <si>
    <t>030 2 02 030000 00 0000 150</t>
  </si>
  <si>
    <t>030 2 02 03015 00 0000 150</t>
  </si>
  <si>
    <t>030 2 02 03015 10 0000 150</t>
  </si>
  <si>
    <t>030 2 02 30024 00 0000 150</t>
  </si>
  <si>
    <t>030 2 02 30024 10 0000 150</t>
  </si>
  <si>
    <t>030 2 02 04000 00 0000 150</t>
  </si>
  <si>
    <t>030 2 02 04999 00 0000 150</t>
  </si>
  <si>
    <t>на 1 января 2021г.,на 1 января 2022г.,на 1 января 2023г.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</si>
  <si>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2020 год и плановый период на 2021-2022 годы»</t>
  </si>
  <si>
    <t>прочие работы, услуги</t>
  </si>
  <si>
    <t xml:space="preserve"> 2020 год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</si>
  <si>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</si>
  <si>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</si>
  <si>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</si>
  <si>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</si>
  <si>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</si>
  <si>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91 8 77 90282</t>
  </si>
  <si>
    <t>91 5 05 90230</t>
  </si>
  <si>
    <t>91 4 05 90190</t>
  </si>
  <si>
    <t>увеличение стоимости мат.запасов</t>
  </si>
  <si>
    <t xml:space="preserve">Программа муниципальных внутренних заимствований муниципального образования "Гаханское" </t>
  </si>
  <si>
    <t>030 2 02 25555 10 0000 150</t>
  </si>
  <si>
    <t>Субсидии бюджетам сельских поселений на  реализацию программ формирования современной городской среды</t>
  </si>
  <si>
    <t xml:space="preserve">Прогнозируемые доходы бюджета муниципального образования "Гаханское" </t>
  </si>
  <si>
    <t>2 02 25555 10 0000 150</t>
  </si>
  <si>
    <t>030 01 02 00 00 0000 000</t>
  </si>
  <si>
    <t>030 01 02 00 00 0000 700</t>
  </si>
  <si>
    <t>Ведомственная структура расходов бюджета муниципального образования "Гаханское" на 2020 год и плановый период 2021-2022 гг.</t>
  </si>
  <si>
    <t>91 4 F2 55551</t>
  </si>
  <si>
    <r>
      <t xml:space="preserve">Поддержка муниципальных программ формирования современной городской среды </t>
    </r>
    <r>
      <rPr>
        <sz val="7"/>
        <rFont val="Courier New"/>
        <family val="3"/>
      </rPr>
      <t xml:space="preserve">(ФБ = 743 805,60 руб.; ОБ = 176311,30  руб.) </t>
    </r>
  </si>
  <si>
    <t>Софинансирование поддержки муниципальных программ формирования современной городской среды</t>
  </si>
  <si>
    <t>транспортные услуги</t>
  </si>
  <si>
    <t>222</t>
  </si>
  <si>
    <t>увеличение ст-ти осн.средств</t>
  </si>
  <si>
    <t>310</t>
  </si>
  <si>
    <t>Приложение 6</t>
  </si>
  <si>
    <t>к проекту решению Думы МО "Гаханское" от "__" _______ 2020 г. №___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t>
  </si>
  <si>
    <t>030 2 02 25576 10 0000 150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</si>
  <si>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</si>
  <si>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</si>
  <si>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91 Л 02 R5762</t>
  </si>
  <si>
    <t>Реализация мероприятий по обеспечению комплексного развития сельских территорий (ФБ=1540497,38 руб., ОБ=409502,62 руб.)</t>
  </si>
  <si>
    <t xml:space="preserve">Софинансирование мероприятий по обеспечению комплексного развития сельских территорий </t>
  </si>
  <si>
    <t>91 7 10 S2370</t>
  </si>
  <si>
    <t>РЕАЛИЗАЦИЯ МЕРОПРИЯТИЙ ПЕРЕЧНЯ ПРОЕКТОВ НАРОДНЫХ ИНИЦИАТИВ ЗА СЧЕТ СРЕДСТВ ОБЛАСТНОГО БЮДЖЕТА</t>
  </si>
  <si>
    <t>СОФИНАНСИРОВАНИЕ МЕРОПРИЯТИЙ ПЕРЕЧНЯ ПРОЕКТОВ НАРОДНЫХ ИНИЦИАТИВ</t>
  </si>
  <si>
    <t>91 Л 02 L5762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</si>
</sst>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b/>
      <sz val="9"/>
      <name val="Courier New"/>
      <family val="3"/>
    </font>
    <font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Courier New"/>
      <family val="3"/>
    </font>
    <font>
      <i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Courier New"/>
      <family val="3"/>
    </font>
    <font>
      <i/>
      <sz val="10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distributed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4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left" wrapText="1"/>
    </xf>
    <xf numFmtId="0" fontId="14" fillId="0" borderId="33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4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wrapText="1"/>
    </xf>
    <xf numFmtId="0" fontId="14" fillId="0" borderId="4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6" fillId="0" borderId="33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4" xfId="0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27" xfId="53" applyNumberFormat="1" applyFont="1" applyFill="1" applyBorder="1" applyAlignment="1" applyProtection="1">
      <alignment horizontal="center" vertical="center" wrapText="1"/>
      <protection/>
    </xf>
    <xf numFmtId="3" fontId="15" fillId="0" borderId="29" xfId="53" applyNumberFormat="1" applyFont="1" applyFill="1" applyBorder="1" applyAlignment="1" applyProtection="1">
      <alignment horizontal="center" vertical="center" wrapText="1"/>
      <protection/>
    </xf>
    <xf numFmtId="3" fontId="15" fillId="0" borderId="31" xfId="53" applyNumberFormat="1" applyFont="1" applyFill="1" applyBorder="1" applyAlignment="1" applyProtection="1">
      <alignment horizontal="center" vertical="center" wrapText="1"/>
      <protection/>
    </xf>
    <xf numFmtId="3" fontId="14" fillId="0" borderId="33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49" fontId="67" fillId="33" borderId="1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33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68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15" fillId="33" borderId="34" xfId="0" applyNumberFormat="1" applyFont="1" applyFill="1" applyBorder="1" applyAlignment="1">
      <alignment horizontal="center"/>
    </xf>
    <xf numFmtId="0" fontId="15" fillId="34" borderId="15" xfId="0" applyFont="1" applyFill="1" applyBorder="1" applyAlignment="1">
      <alignment vertical="top" wrapText="1"/>
    </xf>
    <xf numFmtId="49" fontId="70" fillId="34" borderId="15" xfId="0" applyNumberFormat="1" applyFont="1" applyFill="1" applyBorder="1" applyAlignment="1">
      <alignment horizontal="center"/>
    </xf>
    <xf numFmtId="49" fontId="67" fillId="34" borderId="15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wrapText="1"/>
    </xf>
    <xf numFmtId="9" fontId="0" fillId="0" borderId="0" xfId="0" applyNumberFormat="1" applyAlignment="1">
      <alignment/>
    </xf>
    <xf numFmtId="2" fontId="71" fillId="0" borderId="0" xfId="0" applyNumberFormat="1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3" fontId="15" fillId="35" borderId="15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3" fontId="15" fillId="33" borderId="15" xfId="0" applyNumberFormat="1" applyFont="1" applyFill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22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5" fillId="0" borderId="3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34" xfId="0" applyFont="1" applyFill="1" applyBorder="1" applyAlignment="1">
      <alignment horizontal="left" wrapText="1"/>
    </xf>
    <xf numFmtId="4" fontId="14" fillId="0" borderId="3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 applyAlignment="1">
      <alignment horizontal="center"/>
    </xf>
    <xf numFmtId="4" fontId="14" fillId="33" borderId="34" xfId="0" applyNumberFormat="1" applyFont="1" applyFill="1" applyBorder="1" applyAlignment="1">
      <alignment horizontal="center"/>
    </xf>
    <xf numFmtId="4" fontId="14" fillId="33" borderId="44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 wrapText="1"/>
    </xf>
    <xf numFmtId="4" fontId="15" fillId="0" borderId="46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4" fillId="33" borderId="32" xfId="0" applyNumberFormat="1" applyFont="1" applyFill="1" applyBorder="1" applyAlignment="1">
      <alignment horizontal="center"/>
    </xf>
    <xf numFmtId="4" fontId="14" fillId="33" borderId="33" xfId="0" applyNumberFormat="1" applyFont="1" applyFill="1" applyBorder="1" applyAlignment="1">
      <alignment horizontal="center"/>
    </xf>
    <xf numFmtId="4" fontId="15" fillId="33" borderId="33" xfId="0" applyNumberFormat="1" applyFont="1" applyFill="1" applyBorder="1" applyAlignment="1">
      <alignment horizontal="center"/>
    </xf>
    <xf numFmtId="4" fontId="15" fillId="33" borderId="42" xfId="0" applyNumberFormat="1" applyFont="1" applyFill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center"/>
    </xf>
    <xf numFmtId="4" fontId="19" fillId="0" borderId="34" xfId="0" applyNumberFormat="1" applyFont="1" applyBorder="1" applyAlignment="1">
      <alignment horizontal="center"/>
    </xf>
    <xf numFmtId="4" fontId="15" fillId="0" borderId="47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4" fontId="15" fillId="0" borderId="34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15" fillId="0" borderId="32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32" xfId="0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/>
    </xf>
    <xf numFmtId="4" fontId="15" fillId="0" borderId="42" xfId="0" applyNumberFormat="1" applyFont="1" applyFill="1" applyBorder="1" applyAlignment="1">
      <alignment horizontal="center"/>
    </xf>
    <xf numFmtId="4" fontId="14" fillId="33" borderId="23" xfId="0" applyNumberFormat="1" applyFont="1" applyFill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3" fontId="22" fillId="0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/>
    </xf>
    <xf numFmtId="4" fontId="14" fillId="35" borderId="15" xfId="0" applyNumberFormat="1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49" fontId="72" fillId="0" borderId="15" xfId="0" applyNumberFormat="1" applyFont="1" applyFill="1" applyBorder="1" applyAlignment="1">
      <alignment horizontal="center" vertical="center"/>
    </xf>
    <xf numFmtId="3" fontId="72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66" fillId="0" borderId="15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3" fontId="66" fillId="35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4" fontId="66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3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32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4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56" xfId="0" applyFont="1" applyBorder="1" applyAlignment="1">
      <alignment/>
    </xf>
    <xf numFmtId="0" fontId="14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7"/>
  <sheetViews>
    <sheetView tabSelected="1" zoomScalePageLayoutView="0" workbookViewId="0" topLeftCell="A217">
      <selection activeCell="F232" sqref="F232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293" t="s">
        <v>231</v>
      </c>
      <c r="F2" s="293"/>
      <c r="G2" s="293"/>
      <c r="H2" s="293"/>
      <c r="I2" s="293"/>
      <c r="J2" s="294"/>
      <c r="K2" s="294"/>
    </row>
    <row r="3" spans="1:11" ht="39.75" customHeight="1">
      <c r="A3" s="42"/>
      <c r="B3" s="42"/>
      <c r="C3" s="42"/>
      <c r="D3" s="42"/>
      <c r="E3" s="42"/>
      <c r="F3" s="306" t="str">
        <f>Прилож3!B3</f>
        <v>к проекту решению Думы МО "Гаханское" от "__" _______ 2020 г. №___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v>
      </c>
      <c r="G3" s="307"/>
      <c r="H3" s="307"/>
      <c r="I3" s="307"/>
      <c r="J3" s="307"/>
      <c r="K3" s="307"/>
    </row>
    <row r="4" spans="1:11" ht="14.25">
      <c r="A4" s="308" t="s">
        <v>428</v>
      </c>
      <c r="B4" s="308"/>
      <c r="C4" s="308"/>
      <c r="D4" s="308"/>
      <c r="E4" s="308"/>
      <c r="F4" s="308"/>
      <c r="G4" s="308"/>
      <c r="H4" s="308"/>
      <c r="I4" s="308"/>
      <c r="J4" s="294"/>
      <c r="K4" s="294"/>
    </row>
    <row r="5" spans="1:11" ht="15">
      <c r="A5" s="41"/>
      <c r="B5" s="41"/>
      <c r="C5" s="41"/>
      <c r="D5" s="41"/>
      <c r="E5" s="41"/>
      <c r="F5" s="41"/>
      <c r="G5" s="41"/>
      <c r="H5" s="41"/>
      <c r="K5" s="64" t="s">
        <v>113</v>
      </c>
    </row>
    <row r="6" spans="1:11" ht="15.75" customHeight="1">
      <c r="A6" s="296" t="s">
        <v>31</v>
      </c>
      <c r="B6" s="298" t="s">
        <v>30</v>
      </c>
      <c r="C6" s="299"/>
      <c r="D6" s="299"/>
      <c r="E6" s="299"/>
      <c r="F6" s="300"/>
      <c r="G6" s="301"/>
      <c r="H6" s="302" t="s">
        <v>66</v>
      </c>
      <c r="I6" s="304" t="s">
        <v>319</v>
      </c>
      <c r="J6" s="295" t="s">
        <v>313</v>
      </c>
      <c r="K6" s="295"/>
    </row>
    <row r="7" spans="1:14" ht="45" customHeight="1">
      <c r="A7" s="297"/>
      <c r="B7" s="67" t="s">
        <v>32</v>
      </c>
      <c r="C7" s="68" t="s">
        <v>33</v>
      </c>
      <c r="D7" s="68" t="s">
        <v>34</v>
      </c>
      <c r="E7" s="66" t="s">
        <v>35</v>
      </c>
      <c r="F7" s="70" t="s">
        <v>249</v>
      </c>
      <c r="G7" s="69" t="s">
        <v>36</v>
      </c>
      <c r="H7" s="303"/>
      <c r="I7" s="305"/>
      <c r="J7" s="260" t="s">
        <v>366</v>
      </c>
      <c r="K7" s="260" t="s">
        <v>386</v>
      </c>
      <c r="N7" s="65"/>
    </row>
    <row r="8" spans="1:15" ht="27">
      <c r="A8" s="148" t="s">
        <v>349</v>
      </c>
      <c r="B8" s="151">
        <v>250</v>
      </c>
      <c r="C8" s="149"/>
      <c r="D8" s="149"/>
      <c r="E8" s="149"/>
      <c r="F8" s="149"/>
      <c r="G8" s="150"/>
      <c r="H8" s="149"/>
      <c r="I8" s="268">
        <f>I9+I68+I84+I107+I141+I232</f>
        <v>19063419.6648</v>
      </c>
      <c r="J8" s="153">
        <f>J9+J68+J83+J107+J141+J232</f>
        <v>10066057.9996</v>
      </c>
      <c r="K8" s="153">
        <f>K9+K68+K84+K107+K141</f>
        <v>9317239.9996</v>
      </c>
      <c r="L8" s="40"/>
      <c r="M8" s="65"/>
      <c r="N8" s="65"/>
      <c r="O8" s="40"/>
    </row>
    <row r="9" spans="1:15" ht="13.5">
      <c r="A9" s="148" t="s">
        <v>0</v>
      </c>
      <c r="B9" s="151">
        <v>250</v>
      </c>
      <c r="C9" s="151" t="s">
        <v>1</v>
      </c>
      <c r="D9" s="151" t="s">
        <v>2</v>
      </c>
      <c r="E9" s="151" t="s">
        <v>3</v>
      </c>
      <c r="F9" s="151" t="s">
        <v>306</v>
      </c>
      <c r="G9" s="152"/>
      <c r="H9" s="151" t="s">
        <v>4</v>
      </c>
      <c r="I9" s="153">
        <f>I62+I10+I18+I57+I49</f>
        <v>7675082.004799999</v>
      </c>
      <c r="J9" s="153">
        <f>J62+J10+J18+J57+J49</f>
        <v>6797013.9996</v>
      </c>
      <c r="K9" s="153">
        <f>K62+K10+K18+K57+K49</f>
        <v>6524968.9996</v>
      </c>
      <c r="M9" s="40"/>
      <c r="N9" s="65"/>
      <c r="O9" s="65"/>
    </row>
    <row r="10" spans="1:14" ht="54">
      <c r="A10" s="148" t="s">
        <v>259</v>
      </c>
      <c r="B10" s="151">
        <v>250</v>
      </c>
      <c r="C10" s="151" t="s">
        <v>1</v>
      </c>
      <c r="D10" s="151" t="s">
        <v>39</v>
      </c>
      <c r="E10" s="151" t="s">
        <v>3</v>
      </c>
      <c r="F10" s="151" t="s">
        <v>276</v>
      </c>
      <c r="G10" s="154"/>
      <c r="H10" s="154" t="s">
        <v>4</v>
      </c>
      <c r="I10" s="153">
        <f>I11</f>
        <v>1362402.0047999998</v>
      </c>
      <c r="J10" s="153">
        <f>J11</f>
        <v>1091333.9996</v>
      </c>
      <c r="K10" s="153">
        <f>K11</f>
        <v>1091333.9996</v>
      </c>
      <c r="M10" s="40"/>
      <c r="N10" s="65"/>
    </row>
    <row r="11" spans="1:11" ht="13.5">
      <c r="A11" s="155" t="s">
        <v>85</v>
      </c>
      <c r="B11" s="151">
        <v>250</v>
      </c>
      <c r="C11" s="149" t="s">
        <v>1</v>
      </c>
      <c r="D11" s="149" t="s">
        <v>39</v>
      </c>
      <c r="E11" s="149" t="s">
        <v>86</v>
      </c>
      <c r="F11" s="149" t="s">
        <v>277</v>
      </c>
      <c r="G11" s="149"/>
      <c r="H11" s="149" t="s">
        <v>4</v>
      </c>
      <c r="I11" s="208">
        <f>SUM(I13)</f>
        <v>1362402.0047999998</v>
      </c>
      <c r="J11" s="208">
        <f>SUM(J13)</f>
        <v>1091333.9996</v>
      </c>
      <c r="K11" s="208">
        <f>SUM(K13)</f>
        <v>1091333.9996</v>
      </c>
    </row>
    <row r="12" spans="1:11" ht="27">
      <c r="A12" s="155" t="s">
        <v>234</v>
      </c>
      <c r="B12" s="151">
        <v>250</v>
      </c>
      <c r="C12" s="149" t="s">
        <v>1</v>
      </c>
      <c r="D12" s="149" t="s">
        <v>39</v>
      </c>
      <c r="E12" s="149" t="s">
        <v>86</v>
      </c>
      <c r="F12" s="149" t="s">
        <v>278</v>
      </c>
      <c r="G12" s="156"/>
      <c r="H12" s="149" t="s">
        <v>4</v>
      </c>
      <c r="I12" s="208">
        <f>I13</f>
        <v>1362402.0047999998</v>
      </c>
      <c r="J12" s="208">
        <f>J13</f>
        <v>1091333.9996</v>
      </c>
      <c r="K12" s="208">
        <f>K13</f>
        <v>1091333.9996</v>
      </c>
    </row>
    <row r="13" spans="1:11" ht="108">
      <c r="A13" s="155" t="s">
        <v>265</v>
      </c>
      <c r="B13" s="151">
        <v>250</v>
      </c>
      <c r="C13" s="149" t="s">
        <v>1</v>
      </c>
      <c r="D13" s="149" t="s">
        <v>39</v>
      </c>
      <c r="E13" s="149" t="s">
        <v>86</v>
      </c>
      <c r="F13" s="149" t="s">
        <v>278</v>
      </c>
      <c r="G13" s="156"/>
      <c r="H13" s="149" t="s">
        <v>4</v>
      </c>
      <c r="I13" s="208">
        <f>I15</f>
        <v>1362402.0047999998</v>
      </c>
      <c r="J13" s="208">
        <f>J15</f>
        <v>1091333.9996</v>
      </c>
      <c r="K13" s="208">
        <f>K15</f>
        <v>1091333.9996</v>
      </c>
    </row>
    <row r="14" spans="1:11" ht="40.5">
      <c r="A14" s="155" t="s">
        <v>266</v>
      </c>
      <c r="B14" s="151">
        <v>250</v>
      </c>
      <c r="C14" s="149" t="s">
        <v>1</v>
      </c>
      <c r="D14" s="149" t="s">
        <v>39</v>
      </c>
      <c r="E14" s="149" t="s">
        <v>86</v>
      </c>
      <c r="F14" s="149" t="s">
        <v>278</v>
      </c>
      <c r="G14" s="156" t="s">
        <v>270</v>
      </c>
      <c r="H14" s="149"/>
      <c r="I14" s="208">
        <f>I15</f>
        <v>1362402.0047999998</v>
      </c>
      <c r="J14" s="208">
        <f>J15</f>
        <v>1091333.9996</v>
      </c>
      <c r="K14" s="208">
        <f>K15</f>
        <v>1091333.9996</v>
      </c>
    </row>
    <row r="15" spans="1:16" ht="27.75" customHeight="1">
      <c r="A15" s="155" t="s">
        <v>169</v>
      </c>
      <c r="B15" s="151">
        <v>250</v>
      </c>
      <c r="C15" s="149" t="s">
        <v>1</v>
      </c>
      <c r="D15" s="149" t="s">
        <v>39</v>
      </c>
      <c r="E15" s="149" t="s">
        <v>86</v>
      </c>
      <c r="F15" s="149" t="s">
        <v>278</v>
      </c>
      <c r="G15" s="149">
        <v>120</v>
      </c>
      <c r="H15" s="149">
        <v>210</v>
      </c>
      <c r="I15" s="208">
        <f>I16+I17</f>
        <v>1362402.0047999998</v>
      </c>
      <c r="J15" s="208">
        <f>J16+J17</f>
        <v>1091333.9996</v>
      </c>
      <c r="K15" s="208">
        <f>K16+K17</f>
        <v>1091333.9996</v>
      </c>
      <c r="M15" s="65"/>
      <c r="N15" s="65"/>
      <c r="O15" s="40"/>
      <c r="P15" s="65"/>
    </row>
    <row r="16" spans="1:13" ht="13.5" hidden="1">
      <c r="A16" s="157" t="s">
        <v>10</v>
      </c>
      <c r="B16" s="151">
        <v>250</v>
      </c>
      <c r="C16" s="149" t="s">
        <v>1</v>
      </c>
      <c r="D16" s="149" t="s">
        <v>39</v>
      </c>
      <c r="E16" s="149" t="s">
        <v>86</v>
      </c>
      <c r="F16" s="149"/>
      <c r="G16" s="149">
        <v>121</v>
      </c>
      <c r="H16" s="149">
        <v>211</v>
      </c>
      <c r="I16" s="267">
        <f>4629*0.94*15.03*1*10*1.6</f>
        <v>1046391.0047999998</v>
      </c>
      <c r="J16" s="208">
        <f>3708*0.94*15.03*10*1.6+0.15</f>
        <v>838197.9996</v>
      </c>
      <c r="K16" s="208">
        <f>J16</f>
        <v>838197.9996</v>
      </c>
      <c r="M16" s="65"/>
    </row>
    <row r="17" spans="1:14" ht="13.5" hidden="1">
      <c r="A17" s="157" t="s">
        <v>12</v>
      </c>
      <c r="B17" s="151">
        <v>250</v>
      </c>
      <c r="C17" s="149" t="s">
        <v>1</v>
      </c>
      <c r="D17" s="149" t="s">
        <v>39</v>
      </c>
      <c r="E17" s="149" t="s">
        <v>86</v>
      </c>
      <c r="F17" s="149"/>
      <c r="G17" s="149">
        <v>121</v>
      </c>
      <c r="H17" s="149">
        <v>213</v>
      </c>
      <c r="I17" s="208">
        <f>253136+62875</f>
        <v>316011</v>
      </c>
      <c r="J17" s="208">
        <f>253136</f>
        <v>253136</v>
      </c>
      <c r="K17" s="208">
        <f>J17</f>
        <v>253136</v>
      </c>
      <c r="M17" s="65"/>
      <c r="N17" s="65"/>
    </row>
    <row r="18" spans="1:13" ht="72.75" customHeight="1">
      <c r="A18" s="148" t="s">
        <v>258</v>
      </c>
      <c r="B18" s="151">
        <v>250</v>
      </c>
      <c r="C18" s="151" t="s">
        <v>1</v>
      </c>
      <c r="D18" s="151" t="s">
        <v>6</v>
      </c>
      <c r="E18" s="151" t="s">
        <v>3</v>
      </c>
      <c r="F18" s="151" t="s">
        <v>279</v>
      </c>
      <c r="G18" s="154"/>
      <c r="H18" s="154" t="s">
        <v>4</v>
      </c>
      <c r="I18" s="209">
        <f aca="true" t="shared" si="0" ref="I18:K19">I21</f>
        <v>6301980</v>
      </c>
      <c r="J18" s="209">
        <f t="shared" si="0"/>
        <v>5689980</v>
      </c>
      <c r="K18" s="209">
        <f t="shared" si="0"/>
        <v>5422935</v>
      </c>
      <c r="M18" s="65"/>
    </row>
    <row r="19" spans="1:11" ht="27">
      <c r="A19" s="155" t="s">
        <v>234</v>
      </c>
      <c r="B19" s="151">
        <v>250</v>
      </c>
      <c r="C19" s="149" t="s">
        <v>1</v>
      </c>
      <c r="D19" s="149" t="s">
        <v>6</v>
      </c>
      <c r="E19" s="149" t="s">
        <v>3</v>
      </c>
      <c r="F19" s="149" t="s">
        <v>280</v>
      </c>
      <c r="G19" s="149"/>
      <c r="H19" s="149" t="s">
        <v>4</v>
      </c>
      <c r="I19" s="208">
        <f>I22</f>
        <v>5194980</v>
      </c>
      <c r="J19" s="208">
        <f t="shared" si="0"/>
        <v>5194980</v>
      </c>
      <c r="K19" s="208">
        <f t="shared" si="0"/>
        <v>5194980</v>
      </c>
    </row>
    <row r="20" spans="1:14" ht="108">
      <c r="A20" s="155" t="s">
        <v>265</v>
      </c>
      <c r="B20" s="151">
        <v>250</v>
      </c>
      <c r="C20" s="149" t="s">
        <v>1</v>
      </c>
      <c r="D20" s="149" t="s">
        <v>6</v>
      </c>
      <c r="E20" s="149" t="s">
        <v>3</v>
      </c>
      <c r="F20" s="149" t="s">
        <v>281</v>
      </c>
      <c r="G20" s="149"/>
      <c r="H20" s="149"/>
      <c r="I20" s="208">
        <f>I21</f>
        <v>6301980</v>
      </c>
      <c r="J20" s="208">
        <f>J21</f>
        <v>5689980</v>
      </c>
      <c r="K20" s="208">
        <f>K21</f>
        <v>5422935</v>
      </c>
      <c r="N20" s="144"/>
    </row>
    <row r="21" spans="1:11" ht="54.75" customHeight="1">
      <c r="A21" s="155" t="s">
        <v>266</v>
      </c>
      <c r="B21" s="151">
        <v>250</v>
      </c>
      <c r="C21" s="149" t="s">
        <v>1</v>
      </c>
      <c r="D21" s="149" t="s">
        <v>6</v>
      </c>
      <c r="E21" s="149" t="s">
        <v>110</v>
      </c>
      <c r="F21" s="149" t="s">
        <v>281</v>
      </c>
      <c r="G21" s="149">
        <v>100</v>
      </c>
      <c r="H21" s="149" t="s">
        <v>4</v>
      </c>
      <c r="I21" s="208">
        <f>I22+I26+I42</f>
        <v>6301980</v>
      </c>
      <c r="J21" s="208">
        <f>J22+J26</f>
        <v>5689980</v>
      </c>
      <c r="K21" s="208">
        <f>K22+K26</f>
        <v>5422935</v>
      </c>
    </row>
    <row r="22" spans="1:13" ht="33" customHeight="1">
      <c r="A22" s="155" t="s">
        <v>169</v>
      </c>
      <c r="B22" s="151">
        <v>250</v>
      </c>
      <c r="C22" s="149" t="s">
        <v>1</v>
      </c>
      <c r="D22" s="149" t="s">
        <v>6</v>
      </c>
      <c r="E22" s="149" t="s">
        <v>110</v>
      </c>
      <c r="F22" s="149" t="s">
        <v>281</v>
      </c>
      <c r="G22" s="149">
        <v>120</v>
      </c>
      <c r="H22" s="149">
        <v>210</v>
      </c>
      <c r="I22" s="208">
        <f>I23+I24</f>
        <v>5194980</v>
      </c>
      <c r="J22" s="208">
        <f>J23+J24</f>
        <v>5194980</v>
      </c>
      <c r="K22" s="208">
        <f>K23+K24</f>
        <v>5194980</v>
      </c>
      <c r="M22" s="65"/>
    </row>
    <row r="23" spans="1:11" ht="13.5" customHeight="1" hidden="1">
      <c r="A23" s="157" t="s">
        <v>10</v>
      </c>
      <c r="B23" s="151">
        <v>250</v>
      </c>
      <c r="C23" s="149" t="s">
        <v>1</v>
      </c>
      <c r="D23" s="149" t="s">
        <v>6</v>
      </c>
      <c r="E23" s="149" t="s">
        <v>110</v>
      </c>
      <c r="F23" s="149" t="s">
        <v>280</v>
      </c>
      <c r="G23" s="149">
        <v>121</v>
      </c>
      <c r="H23" s="149">
        <v>211</v>
      </c>
      <c r="I23" s="208">
        <f>399000*10</f>
        <v>3990000</v>
      </c>
      <c r="J23" s="210">
        <f>399000*10</f>
        <v>3990000</v>
      </c>
      <c r="K23" s="210">
        <f>J23</f>
        <v>3990000</v>
      </c>
    </row>
    <row r="24" spans="1:14" ht="22.5" customHeight="1" hidden="1">
      <c r="A24" s="157" t="s">
        <v>12</v>
      </c>
      <c r="B24" s="151">
        <v>250</v>
      </c>
      <c r="C24" s="149" t="s">
        <v>1</v>
      </c>
      <c r="D24" s="149" t="s">
        <v>6</v>
      </c>
      <c r="E24" s="149" t="s">
        <v>110</v>
      </c>
      <c r="F24" s="149" t="s">
        <v>280</v>
      </c>
      <c r="G24" s="149">
        <v>129</v>
      </c>
      <c r="H24" s="149">
        <v>213</v>
      </c>
      <c r="I24" s="208">
        <f>I23*30.2%</f>
        <v>1204980</v>
      </c>
      <c r="J24" s="210">
        <f>1204980</f>
        <v>1204980</v>
      </c>
      <c r="K24" s="210">
        <f>J24</f>
        <v>1204980</v>
      </c>
      <c r="M24" s="65"/>
      <c r="N24" s="144"/>
    </row>
    <row r="25" spans="1:11" ht="38.25" customHeight="1">
      <c r="A25" s="155" t="s">
        <v>235</v>
      </c>
      <c r="B25" s="151">
        <v>250</v>
      </c>
      <c r="C25" s="149" t="s">
        <v>1</v>
      </c>
      <c r="D25" s="149" t="s">
        <v>6</v>
      </c>
      <c r="E25" s="149" t="s">
        <v>110</v>
      </c>
      <c r="F25" s="149" t="s">
        <v>281</v>
      </c>
      <c r="G25" s="149"/>
      <c r="H25" s="158" t="s">
        <v>127</v>
      </c>
      <c r="I25" s="208">
        <f>I28+I33+I42</f>
        <v>1107000</v>
      </c>
      <c r="J25" s="208">
        <f>J28+J33+J42</f>
        <v>495000</v>
      </c>
      <c r="K25" s="208">
        <f>K28+K33+K42</f>
        <v>227955</v>
      </c>
    </row>
    <row r="26" spans="1:11" ht="26.25" customHeight="1">
      <c r="A26" s="155" t="s">
        <v>156</v>
      </c>
      <c r="B26" s="151">
        <v>250</v>
      </c>
      <c r="C26" s="149" t="s">
        <v>1</v>
      </c>
      <c r="D26" s="149" t="s">
        <v>6</v>
      </c>
      <c r="E26" s="149" t="s">
        <v>110</v>
      </c>
      <c r="F26" s="149" t="s">
        <v>281</v>
      </c>
      <c r="G26" s="149">
        <v>200</v>
      </c>
      <c r="H26" s="159" t="s">
        <v>127</v>
      </c>
      <c r="I26" s="208">
        <f>I28+I33</f>
        <v>987000</v>
      </c>
      <c r="J26" s="208">
        <f>J28+J33+J43</f>
        <v>495000</v>
      </c>
      <c r="K26" s="208">
        <f>K28+K33+K43</f>
        <v>227955</v>
      </c>
    </row>
    <row r="27" spans="1:11" ht="26.25" customHeight="1">
      <c r="A27" s="155" t="s">
        <v>267</v>
      </c>
      <c r="B27" s="151">
        <v>250</v>
      </c>
      <c r="C27" s="149" t="s">
        <v>1</v>
      </c>
      <c r="D27" s="149" t="s">
        <v>6</v>
      </c>
      <c r="E27" s="149" t="s">
        <v>110</v>
      </c>
      <c r="F27" s="149" t="s">
        <v>281</v>
      </c>
      <c r="G27" s="149">
        <v>240</v>
      </c>
      <c r="H27" s="159"/>
      <c r="I27" s="208">
        <f>I28+I33</f>
        <v>987000</v>
      </c>
      <c r="J27" s="208">
        <f>J28+J33</f>
        <v>495000</v>
      </c>
      <c r="K27" s="208">
        <f>K28+K33</f>
        <v>227955</v>
      </c>
    </row>
    <row r="28" spans="1:11" ht="42" customHeight="1">
      <c r="A28" s="155" t="s">
        <v>157</v>
      </c>
      <c r="B28" s="151">
        <v>250</v>
      </c>
      <c r="C28" s="149" t="s">
        <v>1</v>
      </c>
      <c r="D28" s="149" t="s">
        <v>6</v>
      </c>
      <c r="E28" s="149" t="s">
        <v>110</v>
      </c>
      <c r="F28" s="149" t="s">
        <v>281</v>
      </c>
      <c r="G28" s="149">
        <v>242</v>
      </c>
      <c r="H28" s="159" t="s">
        <v>127</v>
      </c>
      <c r="I28" s="208">
        <f>SUM(I29:I32)</f>
        <v>160000</v>
      </c>
      <c r="J28" s="208">
        <f>SUM(J29:J31)</f>
        <v>85000</v>
      </c>
      <c r="K28" s="208">
        <f>SUM(K29:K31)</f>
        <v>85000</v>
      </c>
    </row>
    <row r="29" spans="1:11" ht="12.75" customHeight="1" hidden="1">
      <c r="A29" s="157" t="s">
        <v>14</v>
      </c>
      <c r="B29" s="269">
        <v>250</v>
      </c>
      <c r="C29" s="274" t="s">
        <v>1</v>
      </c>
      <c r="D29" s="274" t="s">
        <v>6</v>
      </c>
      <c r="E29" s="274" t="s">
        <v>110</v>
      </c>
      <c r="F29" s="274" t="s">
        <v>281</v>
      </c>
      <c r="G29" s="274">
        <v>221</v>
      </c>
      <c r="H29" s="276" t="s">
        <v>158</v>
      </c>
      <c r="I29" s="282">
        <v>25000</v>
      </c>
      <c r="J29" s="278">
        <f>15000+20000</f>
        <v>35000</v>
      </c>
      <c r="K29" s="278">
        <f>15000+20000</f>
        <v>35000</v>
      </c>
    </row>
    <row r="30" spans="1:11" ht="12.75" customHeight="1" hidden="1">
      <c r="A30" s="157" t="s">
        <v>159</v>
      </c>
      <c r="B30" s="269">
        <v>250</v>
      </c>
      <c r="C30" s="274" t="s">
        <v>1</v>
      </c>
      <c r="D30" s="274" t="s">
        <v>6</v>
      </c>
      <c r="E30" s="274" t="s">
        <v>110</v>
      </c>
      <c r="F30" s="274" t="s">
        <v>281</v>
      </c>
      <c r="G30" s="274">
        <v>226</v>
      </c>
      <c r="H30" s="276" t="s">
        <v>160</v>
      </c>
      <c r="I30" s="282">
        <v>85000</v>
      </c>
      <c r="J30" s="278">
        <v>50000</v>
      </c>
      <c r="K30" s="278">
        <v>50000</v>
      </c>
    </row>
    <row r="31" spans="1:11" ht="12.75" customHeight="1" hidden="1">
      <c r="A31" s="157" t="s">
        <v>389</v>
      </c>
      <c r="B31" s="269">
        <v>250</v>
      </c>
      <c r="C31" s="274" t="s">
        <v>1</v>
      </c>
      <c r="D31" s="274" t="s">
        <v>6</v>
      </c>
      <c r="E31" s="274" t="s">
        <v>110</v>
      </c>
      <c r="F31" s="274" t="s">
        <v>281</v>
      </c>
      <c r="G31" s="274">
        <v>310</v>
      </c>
      <c r="H31" s="276" t="s">
        <v>160</v>
      </c>
      <c r="I31" s="282">
        <v>50000</v>
      </c>
      <c r="J31" s="278">
        <v>0</v>
      </c>
      <c r="K31" s="278">
        <v>0</v>
      </c>
    </row>
    <row r="32" spans="1:11" ht="29.25" customHeight="1" hidden="1">
      <c r="A32" s="157" t="s">
        <v>22</v>
      </c>
      <c r="B32" s="269">
        <v>250</v>
      </c>
      <c r="C32" s="274" t="s">
        <v>1</v>
      </c>
      <c r="D32" s="274" t="s">
        <v>6</v>
      </c>
      <c r="E32" s="274"/>
      <c r="F32" s="274" t="str">
        <f>F31</f>
        <v>91 1 12 90120</v>
      </c>
      <c r="G32" s="274">
        <v>340</v>
      </c>
      <c r="H32" s="276"/>
      <c r="I32" s="282">
        <v>0</v>
      </c>
      <c r="J32" s="278"/>
      <c r="K32" s="278"/>
    </row>
    <row r="33" spans="1:13" ht="51.75" customHeight="1">
      <c r="A33" s="155" t="s">
        <v>163</v>
      </c>
      <c r="B33" s="151">
        <v>250</v>
      </c>
      <c r="C33" s="149" t="s">
        <v>1</v>
      </c>
      <c r="D33" s="149" t="s">
        <v>6</v>
      </c>
      <c r="E33" s="149" t="s">
        <v>110</v>
      </c>
      <c r="F33" s="149" t="s">
        <v>281</v>
      </c>
      <c r="G33" s="149">
        <v>244</v>
      </c>
      <c r="H33" s="158" t="s">
        <v>127</v>
      </c>
      <c r="I33" s="208">
        <f>SUM(I34:I41)</f>
        <v>827000</v>
      </c>
      <c r="J33" s="208">
        <f>SUM(J34:J41)</f>
        <v>410000</v>
      </c>
      <c r="K33" s="208">
        <f>SUM(K34:K41)</f>
        <v>142955</v>
      </c>
      <c r="M33" s="40"/>
    </row>
    <row r="34" spans="1:11" ht="13.5" customHeight="1" hidden="1">
      <c r="A34" s="157" t="s">
        <v>15</v>
      </c>
      <c r="B34" s="151">
        <v>250</v>
      </c>
      <c r="C34" s="149" t="s">
        <v>1</v>
      </c>
      <c r="D34" s="149" t="s">
        <v>6</v>
      </c>
      <c r="E34" s="149" t="s">
        <v>110</v>
      </c>
      <c r="F34" s="149" t="s">
        <v>281</v>
      </c>
      <c r="G34" s="149">
        <v>222</v>
      </c>
      <c r="H34" s="149">
        <v>222</v>
      </c>
      <c r="I34" s="208">
        <v>50000</v>
      </c>
      <c r="J34" s="210">
        <v>0</v>
      </c>
      <c r="K34" s="210">
        <v>0</v>
      </c>
    </row>
    <row r="35" spans="1:13" ht="16.5" customHeight="1" hidden="1">
      <c r="A35" s="160" t="s">
        <v>16</v>
      </c>
      <c r="B35" s="151">
        <v>250</v>
      </c>
      <c r="C35" s="149" t="s">
        <v>1</v>
      </c>
      <c r="D35" s="149" t="s">
        <v>6</v>
      </c>
      <c r="E35" s="149" t="s">
        <v>110</v>
      </c>
      <c r="F35" s="149" t="s">
        <v>281</v>
      </c>
      <c r="G35" s="149">
        <v>223</v>
      </c>
      <c r="H35" s="149">
        <v>223</v>
      </c>
      <c r="I35" s="208">
        <v>315000</v>
      </c>
      <c r="J35" s="210">
        <v>320000</v>
      </c>
      <c r="K35" s="210">
        <v>100000</v>
      </c>
      <c r="M35" s="179"/>
    </row>
    <row r="36" spans="1:11" ht="12" customHeight="1" hidden="1">
      <c r="A36" s="160"/>
      <c r="B36" s="151">
        <v>250</v>
      </c>
      <c r="C36" s="149" t="s">
        <v>1</v>
      </c>
      <c r="D36" s="149" t="s">
        <v>6</v>
      </c>
      <c r="E36" s="149" t="s">
        <v>110</v>
      </c>
      <c r="F36" s="149" t="s">
        <v>281</v>
      </c>
      <c r="G36" s="149">
        <v>244</v>
      </c>
      <c r="H36" s="149">
        <v>224</v>
      </c>
      <c r="I36" s="208">
        <v>0</v>
      </c>
      <c r="J36" s="210">
        <v>0</v>
      </c>
      <c r="K36" s="210">
        <v>0</v>
      </c>
    </row>
    <row r="37" spans="1:13" ht="14.25" customHeight="1" hidden="1">
      <c r="A37" s="157" t="s">
        <v>17</v>
      </c>
      <c r="B37" s="151">
        <v>250</v>
      </c>
      <c r="C37" s="149" t="s">
        <v>1</v>
      </c>
      <c r="D37" s="149" t="s">
        <v>6</v>
      </c>
      <c r="E37" s="149" t="s">
        <v>110</v>
      </c>
      <c r="F37" s="149" t="s">
        <v>281</v>
      </c>
      <c r="G37" s="149">
        <v>225</v>
      </c>
      <c r="H37" s="149">
        <v>225</v>
      </c>
      <c r="I37" s="208">
        <f>50000</f>
        <v>50000</v>
      </c>
      <c r="J37" s="210">
        <v>10000</v>
      </c>
      <c r="K37" s="210">
        <v>10000</v>
      </c>
      <c r="M37" s="16"/>
    </row>
    <row r="38" spans="1:13" ht="15.75" customHeight="1" hidden="1">
      <c r="A38" s="157" t="s">
        <v>164</v>
      </c>
      <c r="B38" s="151">
        <v>250</v>
      </c>
      <c r="C38" s="149" t="s">
        <v>1</v>
      </c>
      <c r="D38" s="149" t="s">
        <v>6</v>
      </c>
      <c r="E38" s="149" t="s">
        <v>110</v>
      </c>
      <c r="F38" s="149" t="s">
        <v>281</v>
      </c>
      <c r="G38" s="149">
        <v>226</v>
      </c>
      <c r="H38" s="149">
        <v>226</v>
      </c>
      <c r="I38" s="208">
        <f>150000</f>
        <v>150000</v>
      </c>
      <c r="J38" s="210">
        <v>50000</v>
      </c>
      <c r="K38" s="210">
        <v>20000</v>
      </c>
      <c r="M38" s="179"/>
    </row>
    <row r="39" spans="1:13" ht="12.75" customHeight="1" hidden="1">
      <c r="A39" s="157"/>
      <c r="B39" s="151">
        <v>250</v>
      </c>
      <c r="C39" s="149" t="s">
        <v>1</v>
      </c>
      <c r="D39" s="149" t="s">
        <v>6</v>
      </c>
      <c r="E39" s="149" t="s">
        <v>110</v>
      </c>
      <c r="F39" s="149" t="s">
        <v>281</v>
      </c>
      <c r="G39" s="149">
        <v>290</v>
      </c>
      <c r="H39" s="149">
        <v>290</v>
      </c>
      <c r="I39" s="208">
        <v>0</v>
      </c>
      <c r="J39" s="210">
        <v>0</v>
      </c>
      <c r="K39" s="210">
        <v>0</v>
      </c>
      <c r="M39" s="179"/>
    </row>
    <row r="40" spans="1:11" ht="34.5" customHeight="1" hidden="1">
      <c r="A40" s="157" t="s">
        <v>22</v>
      </c>
      <c r="B40" s="151">
        <v>250</v>
      </c>
      <c r="C40" s="149" t="s">
        <v>1</v>
      </c>
      <c r="D40" s="149" t="s">
        <v>6</v>
      </c>
      <c r="E40" s="149" t="s">
        <v>110</v>
      </c>
      <c r="F40" s="149" t="s">
        <v>281</v>
      </c>
      <c r="G40" s="149">
        <v>340</v>
      </c>
      <c r="H40" s="149">
        <v>340</v>
      </c>
      <c r="I40" s="208">
        <f>150000+12000</f>
        <v>162000</v>
      </c>
      <c r="J40" s="210">
        <v>30000</v>
      </c>
      <c r="K40" s="210">
        <v>12955</v>
      </c>
    </row>
    <row r="41" spans="1:11" ht="26.25" customHeight="1" hidden="1">
      <c r="A41" s="157" t="s">
        <v>21</v>
      </c>
      <c r="B41" s="151">
        <v>250</v>
      </c>
      <c r="C41" s="149" t="s">
        <v>1</v>
      </c>
      <c r="D41" s="149" t="s">
        <v>6</v>
      </c>
      <c r="E41" s="149" t="s">
        <v>110</v>
      </c>
      <c r="F41" s="149" t="s">
        <v>281</v>
      </c>
      <c r="G41" s="149">
        <v>310</v>
      </c>
      <c r="H41" s="149">
        <v>310</v>
      </c>
      <c r="I41" s="208">
        <v>100000</v>
      </c>
      <c r="J41" s="210">
        <v>0</v>
      </c>
      <c r="K41" s="210">
        <v>0</v>
      </c>
    </row>
    <row r="42" spans="1:11" ht="24.75" customHeight="1">
      <c r="A42" s="155" t="s">
        <v>237</v>
      </c>
      <c r="B42" s="151">
        <v>250</v>
      </c>
      <c r="C42" s="149" t="s">
        <v>1</v>
      </c>
      <c r="D42" s="149" t="s">
        <v>6</v>
      </c>
      <c r="E42" s="149" t="s">
        <v>110</v>
      </c>
      <c r="F42" s="149" t="s">
        <v>281</v>
      </c>
      <c r="G42" s="151">
        <v>800</v>
      </c>
      <c r="H42" s="158" t="s">
        <v>127</v>
      </c>
      <c r="I42" s="208">
        <f>I43</f>
        <v>120000</v>
      </c>
      <c r="J42" s="208">
        <f>J43</f>
        <v>0</v>
      </c>
      <c r="K42" s="208">
        <f>K43</f>
        <v>0</v>
      </c>
    </row>
    <row r="43" spans="1:11" ht="32.25" customHeight="1">
      <c r="A43" s="155" t="s">
        <v>165</v>
      </c>
      <c r="B43" s="151">
        <v>250</v>
      </c>
      <c r="C43" s="149" t="s">
        <v>1</v>
      </c>
      <c r="D43" s="149" t="s">
        <v>6</v>
      </c>
      <c r="E43" s="149" t="s">
        <v>110</v>
      </c>
      <c r="F43" s="149" t="s">
        <v>281</v>
      </c>
      <c r="G43" s="149">
        <v>850</v>
      </c>
      <c r="H43" s="158" t="s">
        <v>127</v>
      </c>
      <c r="I43" s="208">
        <f>I45+I47</f>
        <v>120000</v>
      </c>
      <c r="J43" s="208">
        <v>0</v>
      </c>
      <c r="K43" s="208">
        <v>0</v>
      </c>
    </row>
    <row r="44" spans="1:11" ht="15.75" customHeight="1" hidden="1">
      <c r="A44" s="157" t="s">
        <v>166</v>
      </c>
      <c r="B44" s="151">
        <v>250</v>
      </c>
      <c r="C44" s="149" t="s">
        <v>1</v>
      </c>
      <c r="D44" s="149" t="s">
        <v>6</v>
      </c>
      <c r="E44" s="149" t="s">
        <v>110</v>
      </c>
      <c r="F44" s="149" t="s">
        <v>281</v>
      </c>
      <c r="G44" s="149">
        <v>852</v>
      </c>
      <c r="H44" s="151">
        <v>290</v>
      </c>
      <c r="I44" s="208">
        <v>5000</v>
      </c>
      <c r="J44" s="210"/>
      <c r="K44" s="210"/>
    </row>
    <row r="45" spans="1:11" ht="44.25" customHeight="1">
      <c r="A45" s="155" t="s">
        <v>261</v>
      </c>
      <c r="B45" s="151">
        <v>250</v>
      </c>
      <c r="C45" s="149" t="s">
        <v>1</v>
      </c>
      <c r="D45" s="149" t="s">
        <v>6</v>
      </c>
      <c r="E45" s="149" t="s">
        <v>110</v>
      </c>
      <c r="F45" s="149" t="s">
        <v>281</v>
      </c>
      <c r="G45" s="149">
        <v>852</v>
      </c>
      <c r="H45" s="158" t="s">
        <v>127</v>
      </c>
      <c r="I45" s="208">
        <v>20000</v>
      </c>
      <c r="J45" s="210">
        <v>0</v>
      </c>
      <c r="K45" s="210">
        <v>0</v>
      </c>
    </row>
    <row r="46" spans="1:11" ht="15.75" customHeight="1" hidden="1">
      <c r="A46" s="157" t="s">
        <v>19</v>
      </c>
      <c r="B46" s="151">
        <v>250</v>
      </c>
      <c r="C46" s="149" t="s">
        <v>1</v>
      </c>
      <c r="D46" s="149" t="s">
        <v>6</v>
      </c>
      <c r="E46" s="149" t="s">
        <v>110</v>
      </c>
      <c r="F46" s="149" t="s">
        <v>281</v>
      </c>
      <c r="G46" s="149">
        <v>851</v>
      </c>
      <c r="H46" s="151">
        <v>290</v>
      </c>
      <c r="I46" s="208">
        <v>0</v>
      </c>
      <c r="J46" s="210"/>
      <c r="K46" s="210"/>
    </row>
    <row r="47" spans="1:11" ht="43.5" customHeight="1">
      <c r="A47" s="155" t="s">
        <v>166</v>
      </c>
      <c r="B47" s="151">
        <v>250</v>
      </c>
      <c r="C47" s="149" t="s">
        <v>1</v>
      </c>
      <c r="D47" s="149" t="s">
        <v>6</v>
      </c>
      <c r="E47" s="149" t="s">
        <v>110</v>
      </c>
      <c r="F47" s="149" t="s">
        <v>281</v>
      </c>
      <c r="G47" s="149">
        <v>853</v>
      </c>
      <c r="H47" s="158" t="s">
        <v>127</v>
      </c>
      <c r="I47" s="208">
        <v>100000</v>
      </c>
      <c r="J47" s="210">
        <v>0</v>
      </c>
      <c r="K47" s="210">
        <v>0</v>
      </c>
    </row>
    <row r="48" spans="1:11" ht="15.75" customHeight="1" hidden="1">
      <c r="A48" s="157" t="s">
        <v>19</v>
      </c>
      <c r="B48" s="151">
        <v>250</v>
      </c>
      <c r="C48" s="149" t="s">
        <v>1</v>
      </c>
      <c r="D48" s="149" t="s">
        <v>6</v>
      </c>
      <c r="E48" s="149" t="s">
        <v>110</v>
      </c>
      <c r="F48" s="149"/>
      <c r="G48" s="149"/>
      <c r="H48" s="151">
        <v>290</v>
      </c>
      <c r="I48" s="208">
        <v>0</v>
      </c>
      <c r="J48" s="210"/>
      <c r="K48" s="210"/>
    </row>
    <row r="49" spans="1:11" ht="49.5" customHeight="1" hidden="1">
      <c r="A49" s="181" t="s">
        <v>333</v>
      </c>
      <c r="B49" s="182">
        <v>250</v>
      </c>
      <c r="C49" s="183" t="s">
        <v>128</v>
      </c>
      <c r="D49" s="183" t="s">
        <v>335</v>
      </c>
      <c r="E49" s="183" t="s">
        <v>126</v>
      </c>
      <c r="F49" s="183" t="s">
        <v>336</v>
      </c>
      <c r="G49" s="182"/>
      <c r="H49" s="183" t="s">
        <v>127</v>
      </c>
      <c r="I49" s="211">
        <f>I50</f>
        <v>0</v>
      </c>
      <c r="J49" s="211">
        <f>J50</f>
        <v>0</v>
      </c>
      <c r="K49" s="211">
        <f>K50</f>
        <v>0</v>
      </c>
    </row>
    <row r="50" spans="1:11" ht="42.75" customHeight="1" hidden="1">
      <c r="A50" s="148" t="s">
        <v>334</v>
      </c>
      <c r="B50" s="151">
        <v>250</v>
      </c>
      <c r="C50" s="158" t="s">
        <v>128</v>
      </c>
      <c r="D50" s="158" t="s">
        <v>335</v>
      </c>
      <c r="E50" s="158" t="s">
        <v>126</v>
      </c>
      <c r="F50" s="158" t="s">
        <v>336</v>
      </c>
      <c r="G50" s="151"/>
      <c r="H50" s="158" t="s">
        <v>127</v>
      </c>
      <c r="I50" s="212">
        <f aca="true" t="shared" si="1" ref="I50:K52">I51</f>
        <v>0</v>
      </c>
      <c r="J50" s="212">
        <f t="shared" si="1"/>
        <v>0</v>
      </c>
      <c r="K50" s="212">
        <f t="shared" si="1"/>
        <v>0</v>
      </c>
    </row>
    <row r="51" spans="1:11" ht="31.5" customHeight="1" hidden="1">
      <c r="A51" s="155" t="s">
        <v>156</v>
      </c>
      <c r="B51" s="151">
        <v>250</v>
      </c>
      <c r="C51" s="158" t="s">
        <v>128</v>
      </c>
      <c r="D51" s="158" t="s">
        <v>335</v>
      </c>
      <c r="E51" s="158" t="s">
        <v>126</v>
      </c>
      <c r="F51" s="158" t="s">
        <v>336</v>
      </c>
      <c r="G51" s="156" t="s">
        <v>129</v>
      </c>
      <c r="H51" s="156" t="s">
        <v>127</v>
      </c>
      <c r="I51" s="212">
        <f t="shared" si="1"/>
        <v>0</v>
      </c>
      <c r="J51" s="212">
        <f t="shared" si="1"/>
        <v>0</v>
      </c>
      <c r="K51" s="212">
        <f t="shared" si="1"/>
        <v>0</v>
      </c>
    </row>
    <row r="52" spans="1:11" ht="31.5" customHeight="1" hidden="1">
      <c r="A52" s="148" t="s">
        <v>267</v>
      </c>
      <c r="B52" s="151">
        <v>250</v>
      </c>
      <c r="C52" s="158" t="s">
        <v>128</v>
      </c>
      <c r="D52" s="158" t="s">
        <v>335</v>
      </c>
      <c r="E52" s="158" t="s">
        <v>126</v>
      </c>
      <c r="F52" s="158" t="s">
        <v>336</v>
      </c>
      <c r="G52" s="156" t="s">
        <v>268</v>
      </c>
      <c r="H52" s="156"/>
      <c r="I52" s="213">
        <f t="shared" si="1"/>
        <v>0</v>
      </c>
      <c r="J52" s="213">
        <f t="shared" si="1"/>
        <v>0</v>
      </c>
      <c r="K52" s="213">
        <f t="shared" si="1"/>
        <v>0</v>
      </c>
    </row>
    <row r="53" spans="1:11" ht="51" customHeight="1" hidden="1">
      <c r="A53" s="161" t="s">
        <v>163</v>
      </c>
      <c r="B53" s="151">
        <v>250</v>
      </c>
      <c r="C53" s="158" t="s">
        <v>128</v>
      </c>
      <c r="D53" s="158" t="s">
        <v>335</v>
      </c>
      <c r="E53" s="158" t="s">
        <v>126</v>
      </c>
      <c r="F53" s="158" t="s">
        <v>336</v>
      </c>
      <c r="G53" s="156" t="s">
        <v>183</v>
      </c>
      <c r="H53" s="156"/>
      <c r="I53" s="213">
        <v>0</v>
      </c>
      <c r="J53" s="213">
        <f>J55</f>
        <v>0</v>
      </c>
      <c r="K53" s="213">
        <v>0</v>
      </c>
    </row>
    <row r="54" spans="1:11" ht="18" customHeight="1" hidden="1">
      <c r="A54" s="180" t="s">
        <v>164</v>
      </c>
      <c r="B54" s="151">
        <v>250</v>
      </c>
      <c r="C54" s="158" t="s">
        <v>128</v>
      </c>
      <c r="D54" s="158" t="s">
        <v>335</v>
      </c>
      <c r="E54" s="158" t="s">
        <v>126</v>
      </c>
      <c r="F54" s="158" t="s">
        <v>336</v>
      </c>
      <c r="G54" s="156" t="s">
        <v>183</v>
      </c>
      <c r="H54" s="156"/>
      <c r="I54" s="213">
        <v>0</v>
      </c>
      <c r="J54" s="213"/>
      <c r="K54" s="213"/>
    </row>
    <row r="55" spans="1:11" ht="33" customHeight="1" hidden="1">
      <c r="A55" s="157" t="s">
        <v>337</v>
      </c>
      <c r="B55" s="151">
        <v>250</v>
      </c>
      <c r="C55" s="158" t="s">
        <v>128</v>
      </c>
      <c r="D55" s="158" t="s">
        <v>335</v>
      </c>
      <c r="E55" s="158" t="s">
        <v>126</v>
      </c>
      <c r="F55" s="158" t="s">
        <v>336</v>
      </c>
      <c r="G55" s="156" t="s">
        <v>183</v>
      </c>
      <c r="H55" s="156"/>
      <c r="I55" s="213">
        <v>0</v>
      </c>
      <c r="J55" s="210">
        <v>0</v>
      </c>
      <c r="K55" s="210">
        <v>0</v>
      </c>
    </row>
    <row r="56" spans="1:11" ht="33" customHeight="1" hidden="1">
      <c r="A56" s="157" t="s">
        <v>22</v>
      </c>
      <c r="B56" s="151">
        <v>250</v>
      </c>
      <c r="C56" s="158" t="s">
        <v>128</v>
      </c>
      <c r="D56" s="158" t="s">
        <v>335</v>
      </c>
      <c r="E56" s="158" t="s">
        <v>126</v>
      </c>
      <c r="F56" s="158" t="s">
        <v>336</v>
      </c>
      <c r="G56" s="156" t="s">
        <v>183</v>
      </c>
      <c r="H56" s="156"/>
      <c r="I56" s="213">
        <v>0</v>
      </c>
      <c r="J56" s="210"/>
      <c r="K56" s="210"/>
    </row>
    <row r="57" spans="1:11" ht="53.25" customHeight="1">
      <c r="A57" s="181" t="s">
        <v>260</v>
      </c>
      <c r="B57" s="182">
        <v>250</v>
      </c>
      <c r="C57" s="182" t="s">
        <v>1</v>
      </c>
      <c r="D57" s="182">
        <v>11</v>
      </c>
      <c r="E57" s="182" t="s">
        <v>3</v>
      </c>
      <c r="F57" s="166" t="s">
        <v>282</v>
      </c>
      <c r="G57" s="182"/>
      <c r="H57" s="183" t="s">
        <v>127</v>
      </c>
      <c r="I57" s="211">
        <f>I59</f>
        <v>10000</v>
      </c>
      <c r="J57" s="211">
        <f>J59</f>
        <v>15000</v>
      </c>
      <c r="K57" s="211">
        <f>K59</f>
        <v>10000</v>
      </c>
    </row>
    <row r="58" spans="1:11" ht="40.5">
      <c r="A58" s="155" t="s">
        <v>262</v>
      </c>
      <c r="B58" s="151">
        <v>250</v>
      </c>
      <c r="C58" s="149" t="s">
        <v>1</v>
      </c>
      <c r="D58" s="149">
        <v>11</v>
      </c>
      <c r="E58" s="149" t="s">
        <v>3</v>
      </c>
      <c r="F58" s="149" t="s">
        <v>283</v>
      </c>
      <c r="G58" s="149"/>
      <c r="H58" s="158" t="s">
        <v>127</v>
      </c>
      <c r="I58" s="213">
        <f aca="true" t="shared" si="2" ref="I58:K59">I59</f>
        <v>10000</v>
      </c>
      <c r="J58" s="213">
        <f t="shared" si="2"/>
        <v>15000</v>
      </c>
      <c r="K58" s="213">
        <f t="shared" si="2"/>
        <v>10000</v>
      </c>
    </row>
    <row r="59" spans="1:11" ht="25.5" customHeight="1">
      <c r="A59" s="155" t="s">
        <v>237</v>
      </c>
      <c r="B59" s="151">
        <v>250</v>
      </c>
      <c r="C59" s="149" t="s">
        <v>1</v>
      </c>
      <c r="D59" s="149">
        <v>11</v>
      </c>
      <c r="E59" s="149" t="s">
        <v>114</v>
      </c>
      <c r="F59" s="149" t="s">
        <v>283</v>
      </c>
      <c r="G59" s="149">
        <v>800</v>
      </c>
      <c r="H59" s="158" t="s">
        <v>127</v>
      </c>
      <c r="I59" s="213">
        <f t="shared" si="2"/>
        <v>10000</v>
      </c>
      <c r="J59" s="213">
        <f t="shared" si="2"/>
        <v>15000</v>
      </c>
      <c r="K59" s="213">
        <f t="shared" si="2"/>
        <v>10000</v>
      </c>
    </row>
    <row r="60" spans="1:11" ht="21.75" customHeight="1">
      <c r="A60" s="155" t="s">
        <v>263</v>
      </c>
      <c r="B60" s="151">
        <v>250</v>
      </c>
      <c r="C60" s="149" t="s">
        <v>1</v>
      </c>
      <c r="D60" s="149">
        <v>11</v>
      </c>
      <c r="E60" s="149" t="s">
        <v>114</v>
      </c>
      <c r="F60" s="149" t="s">
        <v>283</v>
      </c>
      <c r="G60" s="149">
        <v>870</v>
      </c>
      <c r="H60" s="158" t="s">
        <v>127</v>
      </c>
      <c r="I60" s="213">
        <f>I61</f>
        <v>10000</v>
      </c>
      <c r="J60" s="210">
        <v>15000</v>
      </c>
      <c r="K60" s="210">
        <v>10000</v>
      </c>
    </row>
    <row r="61" spans="1:11" ht="13.5" hidden="1">
      <c r="A61" s="157" t="s">
        <v>19</v>
      </c>
      <c r="B61" s="151">
        <v>250</v>
      </c>
      <c r="C61" s="149" t="s">
        <v>1</v>
      </c>
      <c r="D61" s="149">
        <v>11</v>
      </c>
      <c r="E61" s="149" t="s">
        <v>114</v>
      </c>
      <c r="F61" s="149"/>
      <c r="G61" s="149">
        <v>870</v>
      </c>
      <c r="H61" s="158" t="s">
        <v>264</v>
      </c>
      <c r="I61" s="213">
        <v>10000</v>
      </c>
      <c r="J61" s="210"/>
      <c r="K61" s="210"/>
    </row>
    <row r="62" spans="1:11" ht="40.5">
      <c r="A62" s="181" t="s">
        <v>256</v>
      </c>
      <c r="B62" s="182">
        <v>250</v>
      </c>
      <c r="C62" s="183" t="s">
        <v>128</v>
      </c>
      <c r="D62" s="183" t="s">
        <v>206</v>
      </c>
      <c r="E62" s="183" t="s">
        <v>126</v>
      </c>
      <c r="F62" s="183" t="s">
        <v>284</v>
      </c>
      <c r="G62" s="182"/>
      <c r="H62" s="183" t="s">
        <v>127</v>
      </c>
      <c r="I62" s="211">
        <f>I63</f>
        <v>700</v>
      </c>
      <c r="J62" s="211">
        <f>J63</f>
        <v>700</v>
      </c>
      <c r="K62" s="211">
        <f>K63</f>
        <v>700</v>
      </c>
    </row>
    <row r="63" spans="1:11" ht="108">
      <c r="A63" s="148" t="s">
        <v>205</v>
      </c>
      <c r="B63" s="151">
        <v>250</v>
      </c>
      <c r="C63" s="151" t="s">
        <v>1</v>
      </c>
      <c r="D63" s="151">
        <v>13</v>
      </c>
      <c r="E63" s="151" t="s">
        <v>3</v>
      </c>
      <c r="F63" s="151" t="s">
        <v>285</v>
      </c>
      <c r="G63" s="151"/>
      <c r="H63" s="158" t="s">
        <v>127</v>
      </c>
      <c r="I63" s="212">
        <f aca="true" t="shared" si="3" ref="I63:K66">I64</f>
        <v>700</v>
      </c>
      <c r="J63" s="212">
        <f t="shared" si="3"/>
        <v>700</v>
      </c>
      <c r="K63" s="212">
        <f t="shared" si="3"/>
        <v>700</v>
      </c>
    </row>
    <row r="64" spans="1:11" ht="33.75" customHeight="1">
      <c r="A64" s="155" t="s">
        <v>156</v>
      </c>
      <c r="B64" s="151">
        <v>250</v>
      </c>
      <c r="C64" s="156" t="s">
        <v>128</v>
      </c>
      <c r="D64" s="156" t="s">
        <v>206</v>
      </c>
      <c r="E64" s="156" t="s">
        <v>207</v>
      </c>
      <c r="F64" s="149" t="s">
        <v>285</v>
      </c>
      <c r="G64" s="156" t="s">
        <v>129</v>
      </c>
      <c r="H64" s="156" t="s">
        <v>127</v>
      </c>
      <c r="I64" s="212">
        <f t="shared" si="3"/>
        <v>700</v>
      </c>
      <c r="J64" s="212">
        <f t="shared" si="3"/>
        <v>700</v>
      </c>
      <c r="K64" s="212">
        <f t="shared" si="3"/>
        <v>700</v>
      </c>
    </row>
    <row r="65" spans="1:11" ht="27">
      <c r="A65" s="148" t="s">
        <v>267</v>
      </c>
      <c r="B65" s="151">
        <v>250</v>
      </c>
      <c r="C65" s="156" t="s">
        <v>128</v>
      </c>
      <c r="D65" s="156" t="s">
        <v>206</v>
      </c>
      <c r="E65" s="156" t="s">
        <v>207</v>
      </c>
      <c r="F65" s="149" t="s">
        <v>285</v>
      </c>
      <c r="G65" s="156" t="s">
        <v>268</v>
      </c>
      <c r="H65" s="156"/>
      <c r="I65" s="213">
        <f t="shared" si="3"/>
        <v>700</v>
      </c>
      <c r="J65" s="213">
        <f t="shared" si="3"/>
        <v>700</v>
      </c>
      <c r="K65" s="213">
        <f t="shared" si="3"/>
        <v>700</v>
      </c>
    </row>
    <row r="66" spans="1:11" ht="40.5">
      <c r="A66" s="161" t="s">
        <v>163</v>
      </c>
      <c r="B66" s="151">
        <v>250</v>
      </c>
      <c r="C66" s="156" t="s">
        <v>128</v>
      </c>
      <c r="D66" s="156" t="s">
        <v>206</v>
      </c>
      <c r="E66" s="156" t="s">
        <v>207</v>
      </c>
      <c r="F66" s="149" t="s">
        <v>285</v>
      </c>
      <c r="G66" s="156" t="s">
        <v>183</v>
      </c>
      <c r="H66" s="156"/>
      <c r="I66" s="213">
        <f t="shared" si="3"/>
        <v>700</v>
      </c>
      <c r="J66" s="213">
        <f t="shared" si="3"/>
        <v>700</v>
      </c>
      <c r="K66" s="213">
        <f t="shared" si="3"/>
        <v>700</v>
      </c>
    </row>
    <row r="67" spans="1:11" ht="27" hidden="1">
      <c r="A67" s="157" t="s">
        <v>269</v>
      </c>
      <c r="B67" s="151">
        <v>250</v>
      </c>
      <c r="C67" s="156" t="s">
        <v>128</v>
      </c>
      <c r="D67" s="156" t="s">
        <v>206</v>
      </c>
      <c r="E67" s="156" t="s">
        <v>207</v>
      </c>
      <c r="F67" s="151"/>
      <c r="G67" s="156" t="s">
        <v>183</v>
      </c>
      <c r="H67" s="156"/>
      <c r="I67" s="213">
        <v>700</v>
      </c>
      <c r="J67" s="210">
        <v>700</v>
      </c>
      <c r="K67" s="210">
        <v>700</v>
      </c>
    </row>
    <row r="68" spans="1:11" ht="13.5">
      <c r="A68" s="181" t="s">
        <v>69</v>
      </c>
      <c r="B68" s="182">
        <v>250</v>
      </c>
      <c r="C68" s="182" t="s">
        <v>39</v>
      </c>
      <c r="D68" s="183" t="s">
        <v>125</v>
      </c>
      <c r="E68" s="182" t="s">
        <v>126</v>
      </c>
      <c r="F68" s="182" t="s">
        <v>284</v>
      </c>
      <c r="G68" s="182"/>
      <c r="H68" s="183" t="s">
        <v>127</v>
      </c>
      <c r="I68" s="211">
        <f>I69</f>
        <v>125600</v>
      </c>
      <c r="J68" s="211">
        <f aca="true" t="shared" si="4" ref="J68:K70">J69</f>
        <v>126200</v>
      </c>
      <c r="K68" s="211">
        <f t="shared" si="4"/>
        <v>129100</v>
      </c>
    </row>
    <row r="69" spans="1:11" ht="27">
      <c r="A69" s="155" t="s">
        <v>68</v>
      </c>
      <c r="B69" s="151">
        <v>250</v>
      </c>
      <c r="C69" s="149" t="s">
        <v>39</v>
      </c>
      <c r="D69" s="149" t="s">
        <v>43</v>
      </c>
      <c r="E69" s="149" t="s">
        <v>126</v>
      </c>
      <c r="F69" s="149" t="s">
        <v>286</v>
      </c>
      <c r="G69" s="149"/>
      <c r="H69" s="156" t="s">
        <v>127</v>
      </c>
      <c r="I69" s="208">
        <f>I70</f>
        <v>125600</v>
      </c>
      <c r="J69" s="208">
        <f t="shared" si="4"/>
        <v>126200</v>
      </c>
      <c r="K69" s="208">
        <f t="shared" si="4"/>
        <v>129100</v>
      </c>
    </row>
    <row r="70" spans="1:11" ht="54">
      <c r="A70" s="155" t="s">
        <v>91</v>
      </c>
      <c r="B70" s="151">
        <v>250</v>
      </c>
      <c r="C70" s="149" t="s">
        <v>39</v>
      </c>
      <c r="D70" s="149" t="s">
        <v>43</v>
      </c>
      <c r="E70" s="149" t="s">
        <v>204</v>
      </c>
      <c r="F70" s="149" t="s">
        <v>287</v>
      </c>
      <c r="G70" s="149"/>
      <c r="H70" s="156" t="s">
        <v>127</v>
      </c>
      <c r="I70" s="208">
        <f>I71</f>
        <v>125600</v>
      </c>
      <c r="J70" s="208">
        <f t="shared" si="4"/>
        <v>126200</v>
      </c>
      <c r="K70" s="208">
        <f t="shared" si="4"/>
        <v>129100</v>
      </c>
    </row>
    <row r="71" spans="1:11" ht="108">
      <c r="A71" s="155" t="s">
        <v>265</v>
      </c>
      <c r="B71" s="151">
        <v>250</v>
      </c>
      <c r="C71" s="149" t="s">
        <v>39</v>
      </c>
      <c r="D71" s="149" t="s">
        <v>43</v>
      </c>
      <c r="E71" s="149" t="s">
        <v>204</v>
      </c>
      <c r="F71" s="149" t="s">
        <v>287</v>
      </c>
      <c r="G71" s="149">
        <v>100</v>
      </c>
      <c r="H71" s="156"/>
      <c r="I71" s="208">
        <f>I73+I76</f>
        <v>125600</v>
      </c>
      <c r="J71" s="208">
        <f>J73+J76</f>
        <v>126200</v>
      </c>
      <c r="K71" s="208">
        <f>K73+K76</f>
        <v>129100</v>
      </c>
    </row>
    <row r="72" spans="1:11" ht="40.5">
      <c r="A72" s="155" t="s">
        <v>266</v>
      </c>
      <c r="B72" s="151">
        <v>250</v>
      </c>
      <c r="C72" s="149" t="s">
        <v>39</v>
      </c>
      <c r="D72" s="149" t="s">
        <v>43</v>
      </c>
      <c r="E72" s="149" t="s">
        <v>204</v>
      </c>
      <c r="F72" s="149" t="s">
        <v>287</v>
      </c>
      <c r="G72" s="149">
        <v>120</v>
      </c>
      <c r="H72" s="156"/>
      <c r="I72" s="208">
        <f>I73</f>
        <v>114056</v>
      </c>
      <c r="J72" s="208">
        <f>J73</f>
        <v>112493</v>
      </c>
      <c r="K72" s="208">
        <f>K73</f>
        <v>117180</v>
      </c>
    </row>
    <row r="73" spans="1:13" ht="28.5" customHeight="1">
      <c r="A73" s="155" t="s">
        <v>169</v>
      </c>
      <c r="B73" s="151">
        <v>250</v>
      </c>
      <c r="C73" s="149" t="s">
        <v>39</v>
      </c>
      <c r="D73" s="149" t="s">
        <v>43</v>
      </c>
      <c r="E73" s="149" t="s">
        <v>204</v>
      </c>
      <c r="F73" s="149" t="s">
        <v>287</v>
      </c>
      <c r="G73" s="149">
        <v>120</v>
      </c>
      <c r="H73" s="149">
        <v>210</v>
      </c>
      <c r="I73" s="208">
        <f>I74+I75</f>
        <v>114056</v>
      </c>
      <c r="J73" s="208">
        <f>J74+J75</f>
        <v>112493</v>
      </c>
      <c r="K73" s="208">
        <f>K74+K75</f>
        <v>117180</v>
      </c>
      <c r="M73" s="40"/>
    </row>
    <row r="74" spans="1:13" ht="13.5" hidden="1">
      <c r="A74" s="157" t="s">
        <v>10</v>
      </c>
      <c r="B74" s="151">
        <v>250</v>
      </c>
      <c r="C74" s="149" t="s">
        <v>39</v>
      </c>
      <c r="D74" s="149" t="s">
        <v>43</v>
      </c>
      <c r="E74" s="149" t="s">
        <v>204</v>
      </c>
      <c r="F74" s="149" t="s">
        <v>287</v>
      </c>
      <c r="G74" s="149">
        <v>121</v>
      </c>
      <c r="H74" s="149">
        <v>211</v>
      </c>
      <c r="I74" s="208">
        <f>7300*12</f>
        <v>87600</v>
      </c>
      <c r="J74" s="208">
        <f>7200*12</f>
        <v>86400</v>
      </c>
      <c r="K74" s="208">
        <f>7500*12</f>
        <v>90000</v>
      </c>
      <c r="M74" s="40"/>
    </row>
    <row r="75" spans="1:11" ht="14.25" customHeight="1" hidden="1">
      <c r="A75" s="157" t="s">
        <v>12</v>
      </c>
      <c r="B75" s="151">
        <v>250</v>
      </c>
      <c r="C75" s="149" t="s">
        <v>39</v>
      </c>
      <c r="D75" s="149" t="s">
        <v>43</v>
      </c>
      <c r="E75" s="149" t="s">
        <v>204</v>
      </c>
      <c r="F75" s="149" t="s">
        <v>287</v>
      </c>
      <c r="G75" s="149">
        <v>121</v>
      </c>
      <c r="H75" s="149">
        <v>213</v>
      </c>
      <c r="I75" s="208">
        <f>25368+1088</f>
        <v>26456</v>
      </c>
      <c r="J75" s="208">
        <v>26093</v>
      </c>
      <c r="K75" s="208">
        <f>27180</f>
        <v>27180</v>
      </c>
    </row>
    <row r="76" spans="1:11" ht="25.5" customHeight="1">
      <c r="A76" s="155" t="s">
        <v>156</v>
      </c>
      <c r="B76" s="151">
        <v>250</v>
      </c>
      <c r="C76" s="149" t="s">
        <v>39</v>
      </c>
      <c r="D76" s="149" t="s">
        <v>43</v>
      </c>
      <c r="E76" s="149" t="s">
        <v>204</v>
      </c>
      <c r="F76" s="149" t="s">
        <v>287</v>
      </c>
      <c r="G76" s="149">
        <v>200</v>
      </c>
      <c r="H76" s="149"/>
      <c r="I76" s="208">
        <f>I77</f>
        <v>11544</v>
      </c>
      <c r="J76" s="208">
        <f>J78+J80</f>
        <v>13707</v>
      </c>
      <c r="K76" s="208">
        <f>K78+K80</f>
        <v>11920</v>
      </c>
    </row>
    <row r="77" spans="1:11" ht="28.5" customHeight="1">
      <c r="A77" s="155" t="s">
        <v>267</v>
      </c>
      <c r="B77" s="151">
        <v>250</v>
      </c>
      <c r="C77" s="149" t="s">
        <v>39</v>
      </c>
      <c r="D77" s="149" t="s">
        <v>43</v>
      </c>
      <c r="E77" s="149" t="s">
        <v>204</v>
      </c>
      <c r="F77" s="149" t="s">
        <v>287</v>
      </c>
      <c r="G77" s="149">
        <v>240</v>
      </c>
      <c r="H77" s="149"/>
      <c r="I77" s="208">
        <f>I80+I78</f>
        <v>11544</v>
      </c>
      <c r="J77" s="208">
        <f>J80+J78</f>
        <v>13707</v>
      </c>
      <c r="K77" s="208">
        <f>K80+K78</f>
        <v>11920</v>
      </c>
    </row>
    <row r="78" spans="1:11" ht="42" customHeight="1">
      <c r="A78" s="155" t="s">
        <v>157</v>
      </c>
      <c r="B78" s="151">
        <v>250</v>
      </c>
      <c r="C78" s="149" t="s">
        <v>39</v>
      </c>
      <c r="D78" s="149" t="s">
        <v>43</v>
      </c>
      <c r="E78" s="149" t="s">
        <v>204</v>
      </c>
      <c r="F78" s="149" t="s">
        <v>287</v>
      </c>
      <c r="G78" s="149">
        <v>242</v>
      </c>
      <c r="H78" s="149"/>
      <c r="I78" s="208">
        <f>I79</f>
        <v>5000</v>
      </c>
      <c r="J78" s="208">
        <f>J79</f>
        <v>5000</v>
      </c>
      <c r="K78" s="208">
        <f>K79</f>
        <v>5000</v>
      </c>
    </row>
    <row r="79" spans="1:11" ht="15" customHeight="1" hidden="1">
      <c r="A79" s="157" t="s">
        <v>14</v>
      </c>
      <c r="B79" s="151">
        <v>250</v>
      </c>
      <c r="C79" s="149" t="s">
        <v>39</v>
      </c>
      <c r="D79" s="149" t="s">
        <v>43</v>
      </c>
      <c r="E79" s="149" t="s">
        <v>204</v>
      </c>
      <c r="F79" s="149" t="s">
        <v>287</v>
      </c>
      <c r="G79" s="149">
        <v>242</v>
      </c>
      <c r="H79" s="149">
        <v>221</v>
      </c>
      <c r="I79" s="208">
        <v>5000</v>
      </c>
      <c r="J79" s="210">
        <v>5000</v>
      </c>
      <c r="K79" s="210">
        <v>5000</v>
      </c>
    </row>
    <row r="80" spans="1:11" ht="42" customHeight="1">
      <c r="A80" s="155" t="s">
        <v>163</v>
      </c>
      <c r="B80" s="151">
        <v>250</v>
      </c>
      <c r="C80" s="149" t="s">
        <v>39</v>
      </c>
      <c r="D80" s="149" t="s">
        <v>43</v>
      </c>
      <c r="E80" s="149" t="s">
        <v>204</v>
      </c>
      <c r="F80" s="149" t="s">
        <v>287</v>
      </c>
      <c r="G80" s="149">
        <v>244</v>
      </c>
      <c r="H80" s="149">
        <v>200</v>
      </c>
      <c r="I80" s="208">
        <f>I82+I81</f>
        <v>6544</v>
      </c>
      <c r="J80" s="208">
        <f>J82+J81</f>
        <v>8707</v>
      </c>
      <c r="K80" s="208">
        <f>K82+K81</f>
        <v>6920</v>
      </c>
    </row>
    <row r="81" spans="1:11" ht="15" customHeight="1" hidden="1">
      <c r="A81" s="157" t="s">
        <v>15</v>
      </c>
      <c r="B81" s="151">
        <v>250</v>
      </c>
      <c r="C81" s="149" t="s">
        <v>39</v>
      </c>
      <c r="D81" s="149" t="s">
        <v>43</v>
      </c>
      <c r="E81" s="149" t="s">
        <v>204</v>
      </c>
      <c r="F81" s="149" t="s">
        <v>287</v>
      </c>
      <c r="G81" s="149">
        <v>244</v>
      </c>
      <c r="H81" s="149"/>
      <c r="I81" s="208">
        <v>0</v>
      </c>
      <c r="J81" s="208">
        <v>2207</v>
      </c>
      <c r="K81" s="208">
        <v>2420</v>
      </c>
    </row>
    <row r="82" spans="1:11" ht="29.25" customHeight="1" hidden="1">
      <c r="A82" s="157" t="s">
        <v>22</v>
      </c>
      <c r="B82" s="151">
        <v>250</v>
      </c>
      <c r="C82" s="149" t="s">
        <v>39</v>
      </c>
      <c r="D82" s="149" t="s">
        <v>43</v>
      </c>
      <c r="E82" s="149" t="s">
        <v>204</v>
      </c>
      <c r="F82" s="151" t="s">
        <v>287</v>
      </c>
      <c r="G82" s="149">
        <v>244</v>
      </c>
      <c r="H82" s="149">
        <v>340</v>
      </c>
      <c r="I82" s="208">
        <f>9000-2456</f>
        <v>6544</v>
      </c>
      <c r="J82" s="208">
        <f>7000-500</f>
        <v>6500</v>
      </c>
      <c r="K82" s="208">
        <f>5000-500</f>
        <v>4500</v>
      </c>
    </row>
    <row r="83" spans="1:11" ht="41.25" customHeight="1">
      <c r="A83" s="148" t="s">
        <v>344</v>
      </c>
      <c r="B83" s="151">
        <v>250</v>
      </c>
      <c r="C83" s="151" t="s">
        <v>43</v>
      </c>
      <c r="D83" s="151"/>
      <c r="E83" s="151"/>
      <c r="F83" s="151"/>
      <c r="G83" s="151"/>
      <c r="H83" s="151"/>
      <c r="I83" s="209">
        <f>I84</f>
        <v>20000</v>
      </c>
      <c r="J83" s="209">
        <f>J84</f>
        <v>0</v>
      </c>
      <c r="K83" s="153">
        <v>0</v>
      </c>
    </row>
    <row r="84" spans="1:11" ht="13.5" customHeight="1">
      <c r="A84" s="162" t="s">
        <v>271</v>
      </c>
      <c r="B84" s="151">
        <v>250</v>
      </c>
      <c r="C84" s="163" t="s">
        <v>180</v>
      </c>
      <c r="D84" s="163" t="s">
        <v>125</v>
      </c>
      <c r="E84" s="164"/>
      <c r="F84" s="165" t="s">
        <v>332</v>
      </c>
      <c r="G84" s="156"/>
      <c r="H84" s="156"/>
      <c r="I84" s="209">
        <f>I85+I91+I99</f>
        <v>20000</v>
      </c>
      <c r="J84" s="208">
        <f>J85+J91+J99</f>
        <v>0</v>
      </c>
      <c r="K84" s="208">
        <f>K85+K91</f>
        <v>0</v>
      </c>
    </row>
    <row r="85" spans="1:11" ht="58.5" customHeight="1">
      <c r="A85" s="190" t="s">
        <v>390</v>
      </c>
      <c r="B85" s="182">
        <v>250</v>
      </c>
      <c r="C85" s="183" t="s">
        <v>180</v>
      </c>
      <c r="D85" s="183" t="s">
        <v>181</v>
      </c>
      <c r="E85" s="191" t="s">
        <v>331</v>
      </c>
      <c r="F85" s="166" t="s">
        <v>353</v>
      </c>
      <c r="G85" s="192"/>
      <c r="H85" s="183"/>
      <c r="I85" s="211">
        <f aca="true" t="shared" si="5" ref="I85:K87">I86</f>
        <v>10000</v>
      </c>
      <c r="J85" s="211">
        <f t="shared" si="5"/>
        <v>0</v>
      </c>
      <c r="K85" s="211">
        <f t="shared" si="5"/>
        <v>0</v>
      </c>
    </row>
    <row r="86" spans="1:11" ht="53.25" customHeight="1">
      <c r="A86" s="155" t="s">
        <v>161</v>
      </c>
      <c r="B86" s="151">
        <v>250</v>
      </c>
      <c r="C86" s="156" t="s">
        <v>180</v>
      </c>
      <c r="D86" s="163" t="s">
        <v>181</v>
      </c>
      <c r="E86" s="156" t="s">
        <v>195</v>
      </c>
      <c r="F86" s="150" t="s">
        <v>354</v>
      </c>
      <c r="G86" s="149">
        <v>244</v>
      </c>
      <c r="H86" s="149">
        <v>0</v>
      </c>
      <c r="I86" s="208">
        <f t="shared" si="5"/>
        <v>10000</v>
      </c>
      <c r="J86" s="208">
        <f t="shared" si="5"/>
        <v>0</v>
      </c>
      <c r="K86" s="208">
        <f t="shared" si="5"/>
        <v>0</v>
      </c>
    </row>
    <row r="87" spans="1:11" ht="35.25" customHeight="1">
      <c r="A87" s="155" t="s">
        <v>267</v>
      </c>
      <c r="B87" s="151">
        <v>250</v>
      </c>
      <c r="C87" s="156" t="s">
        <v>180</v>
      </c>
      <c r="D87" s="163" t="s">
        <v>181</v>
      </c>
      <c r="E87" s="156" t="s">
        <v>195</v>
      </c>
      <c r="F87" s="150" t="s">
        <v>354</v>
      </c>
      <c r="G87" s="149">
        <v>244</v>
      </c>
      <c r="H87" s="149"/>
      <c r="I87" s="210">
        <f t="shared" si="5"/>
        <v>10000</v>
      </c>
      <c r="J87" s="210">
        <f t="shared" si="5"/>
        <v>0</v>
      </c>
      <c r="K87" s="210">
        <f t="shared" si="5"/>
        <v>0</v>
      </c>
    </row>
    <row r="88" spans="1:11" ht="42" customHeight="1">
      <c r="A88" s="155" t="s">
        <v>163</v>
      </c>
      <c r="B88" s="151">
        <v>250</v>
      </c>
      <c r="C88" s="156" t="s">
        <v>180</v>
      </c>
      <c r="D88" s="163" t="s">
        <v>181</v>
      </c>
      <c r="E88" s="156" t="s">
        <v>195</v>
      </c>
      <c r="F88" s="150" t="s">
        <v>354</v>
      </c>
      <c r="G88" s="149">
        <v>244</v>
      </c>
      <c r="H88" s="149"/>
      <c r="I88" s="208">
        <f>I90+I89</f>
        <v>10000</v>
      </c>
      <c r="J88" s="208">
        <f>J89+J90</f>
        <v>0</v>
      </c>
      <c r="K88" s="208">
        <f>K90+K89</f>
        <v>0</v>
      </c>
    </row>
    <row r="89" spans="1:11" ht="13.5" customHeight="1" hidden="1">
      <c r="A89" s="157" t="s">
        <v>164</v>
      </c>
      <c r="B89" s="151">
        <v>250</v>
      </c>
      <c r="C89" s="156" t="s">
        <v>180</v>
      </c>
      <c r="D89" s="163" t="s">
        <v>181</v>
      </c>
      <c r="E89" s="156" t="s">
        <v>195</v>
      </c>
      <c r="F89" s="150" t="s">
        <v>354</v>
      </c>
      <c r="G89" s="149">
        <v>226</v>
      </c>
      <c r="H89" s="149">
        <v>290</v>
      </c>
      <c r="I89" s="208">
        <v>5000</v>
      </c>
      <c r="J89" s="210">
        <v>0</v>
      </c>
      <c r="K89" s="210">
        <v>0</v>
      </c>
    </row>
    <row r="90" spans="1:11" ht="30" customHeight="1" hidden="1">
      <c r="A90" s="157" t="s">
        <v>22</v>
      </c>
      <c r="B90" s="151">
        <v>250</v>
      </c>
      <c r="C90" s="156" t="s">
        <v>180</v>
      </c>
      <c r="D90" s="163" t="s">
        <v>181</v>
      </c>
      <c r="E90" s="156" t="s">
        <v>195</v>
      </c>
      <c r="F90" s="150" t="s">
        <v>354</v>
      </c>
      <c r="G90" s="149">
        <v>340</v>
      </c>
      <c r="H90" s="149">
        <v>290</v>
      </c>
      <c r="I90" s="208">
        <v>5000</v>
      </c>
      <c r="J90" s="210">
        <v>0</v>
      </c>
      <c r="K90" s="210">
        <v>0</v>
      </c>
    </row>
    <row r="91" spans="1:11" ht="81" customHeight="1" hidden="1">
      <c r="A91" s="184" t="s">
        <v>355</v>
      </c>
      <c r="B91" s="182">
        <v>250</v>
      </c>
      <c r="C91" s="185" t="s">
        <v>180</v>
      </c>
      <c r="D91" s="185" t="s">
        <v>194</v>
      </c>
      <c r="E91" s="186" t="s">
        <v>195</v>
      </c>
      <c r="F91" s="166" t="s">
        <v>356</v>
      </c>
      <c r="G91" s="186"/>
      <c r="H91" s="186" t="s">
        <v>127</v>
      </c>
      <c r="I91" s="214">
        <f>I93</f>
        <v>0</v>
      </c>
      <c r="J91" s="214">
        <f>J93</f>
        <v>0</v>
      </c>
      <c r="K91" s="214">
        <f>K93</f>
        <v>0</v>
      </c>
    </row>
    <row r="92" spans="1:11" ht="106.5" customHeight="1" hidden="1">
      <c r="A92" s="155" t="s">
        <v>236</v>
      </c>
      <c r="B92" s="151">
        <v>250</v>
      </c>
      <c r="C92" s="156" t="s">
        <v>180</v>
      </c>
      <c r="D92" s="156" t="s">
        <v>194</v>
      </c>
      <c r="E92" s="156" t="s">
        <v>195</v>
      </c>
      <c r="F92" s="150" t="s">
        <v>356</v>
      </c>
      <c r="G92" s="156"/>
      <c r="H92" s="156" t="s">
        <v>127</v>
      </c>
      <c r="I92" s="208">
        <f>I93</f>
        <v>0</v>
      </c>
      <c r="J92" s="208">
        <f>J93</f>
        <v>0</v>
      </c>
      <c r="K92" s="208">
        <f>K93</f>
        <v>0</v>
      </c>
    </row>
    <row r="93" spans="1:11" ht="60.75" customHeight="1" hidden="1">
      <c r="A93" s="155" t="s">
        <v>161</v>
      </c>
      <c r="B93" s="151">
        <v>250</v>
      </c>
      <c r="C93" s="156" t="s">
        <v>180</v>
      </c>
      <c r="D93" s="156" t="s">
        <v>194</v>
      </c>
      <c r="E93" s="156" t="s">
        <v>195</v>
      </c>
      <c r="F93" s="150" t="s">
        <v>356</v>
      </c>
      <c r="G93" s="149">
        <v>244</v>
      </c>
      <c r="H93" s="149">
        <v>0</v>
      </c>
      <c r="I93" s="208">
        <f>I94</f>
        <v>0</v>
      </c>
      <c r="J93" s="208">
        <f>J94</f>
        <v>0</v>
      </c>
      <c r="K93" s="208">
        <f>K96</f>
        <v>0</v>
      </c>
    </row>
    <row r="94" spans="1:11" ht="35.25" customHeight="1" hidden="1">
      <c r="A94" s="155" t="s">
        <v>267</v>
      </c>
      <c r="B94" s="151">
        <v>250</v>
      </c>
      <c r="C94" s="156" t="s">
        <v>180</v>
      </c>
      <c r="D94" s="156" t="s">
        <v>194</v>
      </c>
      <c r="E94" s="156" t="s">
        <v>195</v>
      </c>
      <c r="F94" s="150" t="s">
        <v>356</v>
      </c>
      <c r="G94" s="149">
        <v>244</v>
      </c>
      <c r="H94" s="149"/>
      <c r="I94" s="210">
        <f aca="true" t="shared" si="6" ref="I94:K95">I95</f>
        <v>0</v>
      </c>
      <c r="J94" s="210">
        <f t="shared" si="6"/>
        <v>0</v>
      </c>
      <c r="K94" s="210">
        <f t="shared" si="6"/>
        <v>0</v>
      </c>
    </row>
    <row r="95" spans="1:11" ht="43.5" customHeight="1" hidden="1">
      <c r="A95" s="155" t="s">
        <v>163</v>
      </c>
      <c r="B95" s="151">
        <v>250</v>
      </c>
      <c r="C95" s="156" t="s">
        <v>180</v>
      </c>
      <c r="D95" s="156" t="s">
        <v>194</v>
      </c>
      <c r="E95" s="156" t="s">
        <v>195</v>
      </c>
      <c r="F95" s="150" t="s">
        <v>356</v>
      </c>
      <c r="G95" s="149">
        <v>244</v>
      </c>
      <c r="H95" s="149"/>
      <c r="I95" s="208">
        <f>I96+I97+I98</f>
        <v>0</v>
      </c>
      <c r="J95" s="208">
        <v>0</v>
      </c>
      <c r="K95" s="208">
        <f t="shared" si="6"/>
        <v>0</v>
      </c>
    </row>
    <row r="96" spans="1:11" ht="13.5" customHeight="1" hidden="1">
      <c r="A96" s="157" t="s">
        <v>19</v>
      </c>
      <c r="B96" s="151">
        <v>250</v>
      </c>
      <c r="C96" s="156" t="s">
        <v>180</v>
      </c>
      <c r="D96" s="156" t="s">
        <v>194</v>
      </c>
      <c r="E96" s="156" t="s">
        <v>195</v>
      </c>
      <c r="F96" s="150" t="s">
        <v>356</v>
      </c>
      <c r="G96" s="149">
        <v>244</v>
      </c>
      <c r="H96" s="149">
        <v>290</v>
      </c>
      <c r="I96" s="208">
        <v>0</v>
      </c>
      <c r="J96" s="208">
        <v>0</v>
      </c>
      <c r="K96" s="208">
        <v>0</v>
      </c>
    </row>
    <row r="97" spans="1:11" ht="13.5" customHeight="1" hidden="1">
      <c r="A97" s="157" t="s">
        <v>164</v>
      </c>
      <c r="B97" s="151">
        <v>250</v>
      </c>
      <c r="C97" s="156" t="s">
        <v>180</v>
      </c>
      <c r="D97" s="156" t="s">
        <v>194</v>
      </c>
      <c r="E97" s="156" t="s">
        <v>195</v>
      </c>
      <c r="F97" s="150" t="s">
        <v>356</v>
      </c>
      <c r="G97" s="149">
        <v>244</v>
      </c>
      <c r="H97" s="149"/>
      <c r="I97" s="208">
        <v>0</v>
      </c>
      <c r="J97" s="210">
        <v>0</v>
      </c>
      <c r="K97" s="210">
        <v>0</v>
      </c>
    </row>
    <row r="98" spans="1:11" ht="39" customHeight="1" hidden="1">
      <c r="A98" s="157" t="s">
        <v>22</v>
      </c>
      <c r="B98" s="151">
        <v>250</v>
      </c>
      <c r="C98" s="156" t="s">
        <v>180</v>
      </c>
      <c r="D98" s="156" t="s">
        <v>194</v>
      </c>
      <c r="E98" s="156" t="s">
        <v>195</v>
      </c>
      <c r="F98" s="150" t="s">
        <v>356</v>
      </c>
      <c r="G98" s="149">
        <v>244</v>
      </c>
      <c r="H98" s="149"/>
      <c r="I98" s="208">
        <v>0</v>
      </c>
      <c r="J98" s="210">
        <v>0</v>
      </c>
      <c r="K98" s="210">
        <v>0</v>
      </c>
    </row>
    <row r="99" spans="1:11" ht="75" customHeight="1">
      <c r="A99" s="184" t="s">
        <v>357</v>
      </c>
      <c r="B99" s="182">
        <v>250</v>
      </c>
      <c r="C99" s="185" t="s">
        <v>180</v>
      </c>
      <c r="D99" s="185" t="s">
        <v>194</v>
      </c>
      <c r="E99" s="186" t="s">
        <v>195</v>
      </c>
      <c r="F99" s="166" t="s">
        <v>417</v>
      </c>
      <c r="G99" s="166"/>
      <c r="H99" s="166"/>
      <c r="I99" s="214">
        <f aca="true" t="shared" si="7" ref="I99:K102">I100</f>
        <v>10000</v>
      </c>
      <c r="J99" s="214">
        <f t="shared" si="7"/>
        <v>0</v>
      </c>
      <c r="K99" s="214">
        <f t="shared" si="7"/>
        <v>0</v>
      </c>
    </row>
    <row r="100" spans="1:11" ht="108.75" customHeight="1">
      <c r="A100" s="155" t="s">
        <v>358</v>
      </c>
      <c r="B100" s="151">
        <v>250</v>
      </c>
      <c r="C100" s="156" t="s">
        <v>180</v>
      </c>
      <c r="D100" s="156" t="s">
        <v>194</v>
      </c>
      <c r="E100" s="156" t="s">
        <v>195</v>
      </c>
      <c r="F100" s="150" t="s">
        <v>417</v>
      </c>
      <c r="G100" s="149"/>
      <c r="H100" s="149"/>
      <c r="I100" s="208">
        <f t="shared" si="7"/>
        <v>10000</v>
      </c>
      <c r="J100" s="208">
        <f t="shared" si="7"/>
        <v>0</v>
      </c>
      <c r="K100" s="208">
        <f t="shared" si="7"/>
        <v>0</v>
      </c>
    </row>
    <row r="101" spans="1:11" ht="39" customHeight="1">
      <c r="A101" s="155" t="s">
        <v>161</v>
      </c>
      <c r="B101" s="151">
        <v>250</v>
      </c>
      <c r="C101" s="156" t="s">
        <v>180</v>
      </c>
      <c r="D101" s="156" t="s">
        <v>194</v>
      </c>
      <c r="E101" s="156" t="s">
        <v>195</v>
      </c>
      <c r="F101" s="150" t="s">
        <v>417</v>
      </c>
      <c r="G101" s="149">
        <v>244</v>
      </c>
      <c r="H101" s="149"/>
      <c r="I101" s="208">
        <f t="shared" si="7"/>
        <v>10000</v>
      </c>
      <c r="J101" s="208">
        <f t="shared" si="7"/>
        <v>0</v>
      </c>
      <c r="K101" s="208">
        <f t="shared" si="7"/>
        <v>0</v>
      </c>
    </row>
    <row r="102" spans="1:11" ht="39" customHeight="1">
      <c r="A102" s="155" t="s">
        <v>267</v>
      </c>
      <c r="B102" s="151">
        <v>250</v>
      </c>
      <c r="C102" s="156" t="s">
        <v>180</v>
      </c>
      <c r="D102" s="156" t="s">
        <v>194</v>
      </c>
      <c r="E102" s="156" t="s">
        <v>195</v>
      </c>
      <c r="F102" s="150" t="s">
        <v>417</v>
      </c>
      <c r="G102" s="149">
        <v>244</v>
      </c>
      <c r="H102" s="149"/>
      <c r="I102" s="208">
        <f t="shared" si="7"/>
        <v>10000</v>
      </c>
      <c r="J102" s="208">
        <f t="shared" si="7"/>
        <v>0</v>
      </c>
      <c r="K102" s="208">
        <f t="shared" si="7"/>
        <v>0</v>
      </c>
    </row>
    <row r="103" spans="1:11" ht="39" customHeight="1">
      <c r="A103" s="155" t="s">
        <v>163</v>
      </c>
      <c r="B103" s="151">
        <v>250</v>
      </c>
      <c r="C103" s="156" t="s">
        <v>180</v>
      </c>
      <c r="D103" s="156" t="s">
        <v>194</v>
      </c>
      <c r="E103" s="156" t="s">
        <v>195</v>
      </c>
      <c r="F103" s="150" t="s">
        <v>417</v>
      </c>
      <c r="G103" s="149">
        <v>244</v>
      </c>
      <c r="H103" s="149"/>
      <c r="I103" s="208">
        <f>I105+I106</f>
        <v>10000</v>
      </c>
      <c r="J103" s="208">
        <f>J104+J105+J106</f>
        <v>0</v>
      </c>
      <c r="K103" s="208">
        <f>K104+K105+K106</f>
        <v>0</v>
      </c>
    </row>
    <row r="104" spans="1:11" ht="16.5" customHeight="1" hidden="1">
      <c r="A104" s="157"/>
      <c r="B104" s="151"/>
      <c r="C104" s="156"/>
      <c r="D104" s="156"/>
      <c r="E104" s="156"/>
      <c r="F104" s="150"/>
      <c r="G104" s="149"/>
      <c r="H104" s="149"/>
      <c r="I104" s="208"/>
      <c r="J104" s="210"/>
      <c r="K104" s="210"/>
    </row>
    <row r="105" spans="1:11" ht="21.75" customHeight="1" hidden="1">
      <c r="A105" s="157" t="s">
        <v>164</v>
      </c>
      <c r="B105" s="151">
        <v>250</v>
      </c>
      <c r="C105" s="156" t="s">
        <v>180</v>
      </c>
      <c r="D105" s="156" t="s">
        <v>194</v>
      </c>
      <c r="E105" s="156" t="s">
        <v>195</v>
      </c>
      <c r="F105" s="150" t="s">
        <v>359</v>
      </c>
      <c r="G105" s="149">
        <v>226</v>
      </c>
      <c r="H105" s="149"/>
      <c r="I105" s="208">
        <v>5000</v>
      </c>
      <c r="J105" s="210">
        <v>0</v>
      </c>
      <c r="K105" s="210">
        <v>0</v>
      </c>
    </row>
    <row r="106" spans="1:11" ht="29.25" customHeight="1" hidden="1">
      <c r="A106" s="157" t="s">
        <v>22</v>
      </c>
      <c r="B106" s="151">
        <v>250</v>
      </c>
      <c r="C106" s="156" t="s">
        <v>180</v>
      </c>
      <c r="D106" s="156" t="s">
        <v>194</v>
      </c>
      <c r="E106" s="156" t="s">
        <v>195</v>
      </c>
      <c r="F106" s="150" t="s">
        <v>359</v>
      </c>
      <c r="G106" s="149">
        <v>340</v>
      </c>
      <c r="H106" s="149"/>
      <c r="I106" s="208">
        <v>5000</v>
      </c>
      <c r="J106" s="210">
        <v>0</v>
      </c>
      <c r="K106" s="210">
        <v>0</v>
      </c>
    </row>
    <row r="107" spans="1:13" ht="12.75" customHeight="1">
      <c r="A107" s="181" t="s">
        <v>257</v>
      </c>
      <c r="B107" s="182">
        <v>250</v>
      </c>
      <c r="C107" s="183" t="s">
        <v>173</v>
      </c>
      <c r="D107" s="183" t="s">
        <v>125</v>
      </c>
      <c r="E107" s="183" t="s">
        <v>126</v>
      </c>
      <c r="F107" s="182" t="s">
        <v>284</v>
      </c>
      <c r="G107" s="183"/>
      <c r="H107" s="183" t="s">
        <v>127</v>
      </c>
      <c r="I107" s="281">
        <f>I108+I119+I129+I136</f>
        <v>4577045.140000001</v>
      </c>
      <c r="J107" s="211">
        <f>J108+J119+J129</f>
        <v>1697534</v>
      </c>
      <c r="K107" s="211">
        <f>K108+K119+K129</f>
        <v>1641505</v>
      </c>
      <c r="M107" s="40"/>
    </row>
    <row r="108" spans="1:13" ht="16.5" customHeight="1">
      <c r="A108" s="181" t="s">
        <v>172</v>
      </c>
      <c r="B108" s="182">
        <v>250</v>
      </c>
      <c r="C108" s="183" t="s">
        <v>173</v>
      </c>
      <c r="D108" s="183" t="s">
        <v>128</v>
      </c>
      <c r="E108" s="183" t="s">
        <v>126</v>
      </c>
      <c r="F108" s="182" t="s">
        <v>284</v>
      </c>
      <c r="G108" s="183"/>
      <c r="H108" s="183" t="s">
        <v>127</v>
      </c>
      <c r="I108" s="211">
        <f>I109</f>
        <v>35000</v>
      </c>
      <c r="J108" s="211">
        <f>J109</f>
        <v>35000</v>
      </c>
      <c r="K108" s="211">
        <f>K109</f>
        <v>35000</v>
      </c>
      <c r="M108" s="40"/>
    </row>
    <row r="109" spans="1:11" ht="57.75" customHeight="1">
      <c r="A109" s="148" t="s">
        <v>184</v>
      </c>
      <c r="B109" s="151">
        <v>250</v>
      </c>
      <c r="C109" s="158" t="s">
        <v>173</v>
      </c>
      <c r="D109" s="158" t="s">
        <v>128</v>
      </c>
      <c r="E109" s="158" t="s">
        <v>126</v>
      </c>
      <c r="F109" s="151" t="s">
        <v>288</v>
      </c>
      <c r="G109" s="158"/>
      <c r="H109" s="158" t="s">
        <v>127</v>
      </c>
      <c r="I109" s="212">
        <f>I110+I115</f>
        <v>35000</v>
      </c>
      <c r="J109" s="212">
        <f>J110+J115</f>
        <v>35000</v>
      </c>
      <c r="K109" s="212">
        <f>K110+K115</f>
        <v>35000</v>
      </c>
    </row>
    <row r="110" spans="1:11" ht="119.25" customHeight="1">
      <c r="A110" s="155" t="s">
        <v>265</v>
      </c>
      <c r="B110" s="151">
        <v>250</v>
      </c>
      <c r="C110" s="156" t="s">
        <v>173</v>
      </c>
      <c r="D110" s="156" t="s">
        <v>128</v>
      </c>
      <c r="E110" s="156" t="s">
        <v>126</v>
      </c>
      <c r="F110" s="149" t="s">
        <v>288</v>
      </c>
      <c r="G110" s="158"/>
      <c r="H110" s="158"/>
      <c r="I110" s="213">
        <f aca="true" t="shared" si="8" ref="I110:K111">I111</f>
        <v>32000</v>
      </c>
      <c r="J110" s="213">
        <f t="shared" si="8"/>
        <v>32000</v>
      </c>
      <c r="K110" s="213">
        <f t="shared" si="8"/>
        <v>32000</v>
      </c>
    </row>
    <row r="111" spans="1:11" ht="45" customHeight="1">
      <c r="A111" s="155" t="s">
        <v>266</v>
      </c>
      <c r="B111" s="151">
        <v>250</v>
      </c>
      <c r="C111" s="156" t="s">
        <v>173</v>
      </c>
      <c r="D111" s="156" t="s">
        <v>128</v>
      </c>
      <c r="E111" s="164" t="s">
        <v>182</v>
      </c>
      <c r="F111" s="149" t="s">
        <v>288</v>
      </c>
      <c r="G111" s="149">
        <v>100</v>
      </c>
      <c r="H111" s="158" t="s">
        <v>127</v>
      </c>
      <c r="I111" s="213">
        <f t="shared" si="8"/>
        <v>32000</v>
      </c>
      <c r="J111" s="213">
        <f t="shared" si="8"/>
        <v>32000</v>
      </c>
      <c r="K111" s="213">
        <f t="shared" si="8"/>
        <v>32000</v>
      </c>
    </row>
    <row r="112" spans="1:11" ht="36" customHeight="1">
      <c r="A112" s="155" t="s">
        <v>169</v>
      </c>
      <c r="B112" s="151">
        <v>250</v>
      </c>
      <c r="C112" s="156" t="s">
        <v>173</v>
      </c>
      <c r="D112" s="156" t="s">
        <v>128</v>
      </c>
      <c r="E112" s="164" t="s">
        <v>182</v>
      </c>
      <c r="F112" s="149" t="s">
        <v>288</v>
      </c>
      <c r="G112" s="149">
        <v>120</v>
      </c>
      <c r="H112" s="149">
        <v>210</v>
      </c>
      <c r="I112" s="213">
        <f>I113+I114</f>
        <v>32000</v>
      </c>
      <c r="J112" s="213">
        <f>J113+J114</f>
        <v>32000</v>
      </c>
      <c r="K112" s="213">
        <f>K113+K114</f>
        <v>32000</v>
      </c>
    </row>
    <row r="113" spans="1:11" ht="10.5" customHeight="1" hidden="1">
      <c r="A113" s="157" t="s">
        <v>10</v>
      </c>
      <c r="B113" s="151">
        <v>250</v>
      </c>
      <c r="C113" s="156" t="s">
        <v>173</v>
      </c>
      <c r="D113" s="156" t="s">
        <v>128</v>
      </c>
      <c r="E113" s="164" t="s">
        <v>182</v>
      </c>
      <c r="F113" s="149" t="s">
        <v>288</v>
      </c>
      <c r="G113" s="149">
        <v>121</v>
      </c>
      <c r="H113" s="149">
        <v>211</v>
      </c>
      <c r="I113" s="213">
        <v>24577</v>
      </c>
      <c r="J113" s="210">
        <f>24577</f>
        <v>24577</v>
      </c>
      <c r="K113" s="210">
        <v>24577</v>
      </c>
    </row>
    <row r="114" spans="1:11" ht="11.25" customHeight="1" hidden="1">
      <c r="A114" s="157" t="s">
        <v>12</v>
      </c>
      <c r="B114" s="151">
        <v>250</v>
      </c>
      <c r="C114" s="156" t="s">
        <v>173</v>
      </c>
      <c r="D114" s="156" t="s">
        <v>128</v>
      </c>
      <c r="E114" s="164" t="s">
        <v>182</v>
      </c>
      <c r="F114" s="149" t="s">
        <v>288</v>
      </c>
      <c r="G114" s="149">
        <v>121</v>
      </c>
      <c r="H114" s="149">
        <v>213</v>
      </c>
      <c r="I114" s="213">
        <v>7423</v>
      </c>
      <c r="J114" s="210">
        <v>7423</v>
      </c>
      <c r="K114" s="210">
        <v>7423</v>
      </c>
    </row>
    <row r="115" spans="1:11" ht="42" customHeight="1">
      <c r="A115" s="155" t="s">
        <v>156</v>
      </c>
      <c r="B115" s="151">
        <v>250</v>
      </c>
      <c r="C115" s="156" t="s">
        <v>173</v>
      </c>
      <c r="D115" s="156" t="s">
        <v>128</v>
      </c>
      <c r="E115" s="164" t="s">
        <v>182</v>
      </c>
      <c r="F115" s="149" t="s">
        <v>288</v>
      </c>
      <c r="G115" s="149">
        <v>244</v>
      </c>
      <c r="H115" s="149"/>
      <c r="I115" s="213">
        <f aca="true" t="shared" si="9" ref="I115:K116">I116</f>
        <v>3000</v>
      </c>
      <c r="J115" s="213">
        <f t="shared" si="9"/>
        <v>3000</v>
      </c>
      <c r="K115" s="213">
        <f t="shared" si="9"/>
        <v>3000</v>
      </c>
    </row>
    <row r="116" spans="1:11" ht="33.75" customHeight="1">
      <c r="A116" s="155" t="s">
        <v>267</v>
      </c>
      <c r="B116" s="151">
        <v>250</v>
      </c>
      <c r="C116" s="156" t="s">
        <v>173</v>
      </c>
      <c r="D116" s="156" t="s">
        <v>128</v>
      </c>
      <c r="E116" s="164" t="s">
        <v>182</v>
      </c>
      <c r="F116" s="149" t="s">
        <v>288</v>
      </c>
      <c r="G116" s="149">
        <v>244</v>
      </c>
      <c r="H116" s="149"/>
      <c r="I116" s="213">
        <f t="shared" si="9"/>
        <v>3000</v>
      </c>
      <c r="J116" s="213">
        <f t="shared" si="9"/>
        <v>3000</v>
      </c>
      <c r="K116" s="213">
        <f t="shared" si="9"/>
        <v>3000</v>
      </c>
    </row>
    <row r="117" spans="1:11" ht="25.5" customHeight="1">
      <c r="A117" s="155" t="s">
        <v>163</v>
      </c>
      <c r="B117" s="151">
        <v>250</v>
      </c>
      <c r="C117" s="156" t="s">
        <v>173</v>
      </c>
      <c r="D117" s="156" t="s">
        <v>128</v>
      </c>
      <c r="E117" s="164" t="s">
        <v>182</v>
      </c>
      <c r="F117" s="149" t="s">
        <v>288</v>
      </c>
      <c r="G117" s="156" t="s">
        <v>183</v>
      </c>
      <c r="H117" s="156" t="s">
        <v>127</v>
      </c>
      <c r="I117" s="213">
        <f>I118</f>
        <v>3000</v>
      </c>
      <c r="J117" s="213">
        <f>J118</f>
        <v>3000</v>
      </c>
      <c r="K117" s="213">
        <f>K118</f>
        <v>3000</v>
      </c>
    </row>
    <row r="118" spans="1:11" ht="25.5" customHeight="1" hidden="1">
      <c r="A118" s="157" t="s">
        <v>22</v>
      </c>
      <c r="B118" s="151">
        <v>250</v>
      </c>
      <c r="C118" s="156" t="s">
        <v>173</v>
      </c>
      <c r="D118" s="156" t="s">
        <v>128</v>
      </c>
      <c r="E118" s="164" t="s">
        <v>182</v>
      </c>
      <c r="F118" s="151"/>
      <c r="G118" s="156" t="s">
        <v>183</v>
      </c>
      <c r="H118" s="156" t="s">
        <v>162</v>
      </c>
      <c r="I118" s="213">
        <f>3000</f>
        <v>3000</v>
      </c>
      <c r="J118" s="210">
        <f>3000</f>
        <v>3000</v>
      </c>
      <c r="K118" s="210">
        <f>3000</f>
        <v>3000</v>
      </c>
    </row>
    <row r="119" spans="1:11" ht="25.5" customHeight="1">
      <c r="A119" s="167" t="s">
        <v>255</v>
      </c>
      <c r="B119" s="151">
        <v>250</v>
      </c>
      <c r="C119" s="158" t="s">
        <v>173</v>
      </c>
      <c r="D119" s="158" t="s">
        <v>181</v>
      </c>
      <c r="E119" s="151" t="s">
        <v>126</v>
      </c>
      <c r="F119" s="151" t="s">
        <v>289</v>
      </c>
      <c r="G119" s="158"/>
      <c r="H119" s="158" t="s">
        <v>127</v>
      </c>
      <c r="I119" s="266">
        <f aca="true" t="shared" si="10" ref="I119:K120">I120</f>
        <v>3392045.14</v>
      </c>
      <c r="J119" s="209">
        <f t="shared" si="10"/>
        <v>1511900</v>
      </c>
      <c r="K119" s="209">
        <f t="shared" si="10"/>
        <v>1584700</v>
      </c>
    </row>
    <row r="120" spans="1:11" ht="13.5">
      <c r="A120" s="168" t="s">
        <v>192</v>
      </c>
      <c r="B120" s="151">
        <v>250</v>
      </c>
      <c r="C120" s="156" t="s">
        <v>173</v>
      </c>
      <c r="D120" s="156" t="s">
        <v>181</v>
      </c>
      <c r="E120" s="149" t="s">
        <v>126</v>
      </c>
      <c r="F120" s="149" t="s">
        <v>289</v>
      </c>
      <c r="G120" s="156"/>
      <c r="H120" s="156" t="s">
        <v>127</v>
      </c>
      <c r="I120" s="267">
        <f t="shared" si="10"/>
        <v>3392045.14</v>
      </c>
      <c r="J120" s="208">
        <f t="shared" si="10"/>
        <v>1511900</v>
      </c>
      <c r="K120" s="208">
        <f t="shared" si="10"/>
        <v>1584700</v>
      </c>
    </row>
    <row r="121" spans="1:11" ht="13.5">
      <c r="A121" s="168" t="s">
        <v>352</v>
      </c>
      <c r="B121" s="151">
        <v>250</v>
      </c>
      <c r="C121" s="156" t="s">
        <v>173</v>
      </c>
      <c r="D121" s="156" t="s">
        <v>181</v>
      </c>
      <c r="E121" s="149" t="s">
        <v>126</v>
      </c>
      <c r="F121" s="149" t="s">
        <v>290</v>
      </c>
      <c r="G121" s="156"/>
      <c r="H121" s="156" t="s">
        <v>127</v>
      </c>
      <c r="I121" s="267">
        <f>I124</f>
        <v>3392045.14</v>
      </c>
      <c r="J121" s="208">
        <f>J124</f>
        <v>1511900</v>
      </c>
      <c r="K121" s="208">
        <f>K124</f>
        <v>1584700</v>
      </c>
    </row>
    <row r="122" spans="1:11" ht="40.5">
      <c r="A122" s="155" t="s">
        <v>161</v>
      </c>
      <c r="B122" s="151">
        <v>250</v>
      </c>
      <c r="C122" s="156" t="s">
        <v>173</v>
      </c>
      <c r="D122" s="156" t="s">
        <v>181</v>
      </c>
      <c r="E122" s="149" t="s">
        <v>126</v>
      </c>
      <c r="F122" s="149" t="s">
        <v>290</v>
      </c>
      <c r="G122" s="156" t="s">
        <v>129</v>
      </c>
      <c r="H122" s="156"/>
      <c r="I122" s="267">
        <f aca="true" t="shared" si="11" ref="I122:K123">I123</f>
        <v>3392045.14</v>
      </c>
      <c r="J122" s="208">
        <f t="shared" si="11"/>
        <v>1511900</v>
      </c>
      <c r="K122" s="208">
        <f t="shared" si="11"/>
        <v>1584700</v>
      </c>
    </row>
    <row r="123" spans="1:11" ht="28.5" customHeight="1">
      <c r="A123" s="155" t="s">
        <v>267</v>
      </c>
      <c r="B123" s="151">
        <v>250</v>
      </c>
      <c r="C123" s="156" t="s">
        <v>173</v>
      </c>
      <c r="D123" s="156" t="s">
        <v>181</v>
      </c>
      <c r="E123" s="149" t="s">
        <v>126</v>
      </c>
      <c r="F123" s="149" t="s">
        <v>290</v>
      </c>
      <c r="G123" s="156" t="s">
        <v>268</v>
      </c>
      <c r="H123" s="156"/>
      <c r="I123" s="267">
        <f t="shared" si="11"/>
        <v>3392045.14</v>
      </c>
      <c r="J123" s="208">
        <f t="shared" si="11"/>
        <v>1511900</v>
      </c>
      <c r="K123" s="208">
        <f t="shared" si="11"/>
        <v>1584700</v>
      </c>
    </row>
    <row r="124" spans="1:11" ht="40.5">
      <c r="A124" s="155" t="s">
        <v>163</v>
      </c>
      <c r="B124" s="151">
        <v>250</v>
      </c>
      <c r="C124" s="156" t="s">
        <v>173</v>
      </c>
      <c r="D124" s="156" t="s">
        <v>181</v>
      </c>
      <c r="E124" s="149" t="s">
        <v>126</v>
      </c>
      <c r="F124" s="149" t="s">
        <v>290</v>
      </c>
      <c r="G124" s="156" t="s">
        <v>183</v>
      </c>
      <c r="H124" s="156" t="s">
        <v>127</v>
      </c>
      <c r="I124" s="267">
        <f>I125+I128+I127+I126</f>
        <v>3392045.14</v>
      </c>
      <c r="J124" s="208">
        <f>J125+J128+J127</f>
        <v>1511900</v>
      </c>
      <c r="K124" s="208">
        <f>K125+K128+K127+K126</f>
        <v>1584700</v>
      </c>
    </row>
    <row r="125" spans="1:11" ht="13.5" hidden="1">
      <c r="A125" s="157" t="s">
        <v>17</v>
      </c>
      <c r="B125" s="151">
        <v>250</v>
      </c>
      <c r="C125" s="156" t="s">
        <v>173</v>
      </c>
      <c r="D125" s="156" t="s">
        <v>181</v>
      </c>
      <c r="E125" s="169" t="s">
        <v>191</v>
      </c>
      <c r="F125" s="149" t="s">
        <v>290</v>
      </c>
      <c r="G125" s="149">
        <v>244</v>
      </c>
      <c r="H125" s="149"/>
      <c r="I125" s="267">
        <f>550000+294845</f>
        <v>844845</v>
      </c>
      <c r="J125" s="208">
        <v>1061900</v>
      </c>
      <c r="K125" s="208">
        <v>1134700</v>
      </c>
    </row>
    <row r="126" spans="1:11" ht="13.5" hidden="1">
      <c r="A126" s="157" t="s">
        <v>164</v>
      </c>
      <c r="B126" s="151">
        <v>250</v>
      </c>
      <c r="C126" s="156" t="s">
        <v>173</v>
      </c>
      <c r="D126" s="156" t="s">
        <v>181</v>
      </c>
      <c r="E126" s="169" t="s">
        <v>191</v>
      </c>
      <c r="F126" s="149" t="s">
        <v>290</v>
      </c>
      <c r="G126" s="149">
        <v>244</v>
      </c>
      <c r="H126" s="149"/>
      <c r="I126" s="267">
        <f>947200+1000000.14</f>
        <v>1947200.1400000001</v>
      </c>
      <c r="J126" s="210">
        <v>0</v>
      </c>
      <c r="K126" s="210">
        <v>0</v>
      </c>
    </row>
    <row r="127" spans="1:11" ht="27" hidden="1">
      <c r="A127" s="157" t="s">
        <v>21</v>
      </c>
      <c r="B127" s="151">
        <v>250</v>
      </c>
      <c r="C127" s="156" t="s">
        <v>173</v>
      </c>
      <c r="D127" s="156" t="s">
        <v>181</v>
      </c>
      <c r="E127" s="169" t="s">
        <v>191</v>
      </c>
      <c r="F127" s="149" t="s">
        <v>290</v>
      </c>
      <c r="G127" s="149">
        <v>244</v>
      </c>
      <c r="H127" s="149"/>
      <c r="I127" s="267">
        <v>300000</v>
      </c>
      <c r="J127" s="210">
        <v>300000</v>
      </c>
      <c r="K127" s="210">
        <v>250000</v>
      </c>
    </row>
    <row r="128" spans="1:11" ht="27" hidden="1">
      <c r="A128" s="157" t="s">
        <v>22</v>
      </c>
      <c r="B128" s="151">
        <v>250</v>
      </c>
      <c r="C128" s="156" t="s">
        <v>173</v>
      </c>
      <c r="D128" s="156" t="s">
        <v>181</v>
      </c>
      <c r="E128" s="169" t="s">
        <v>191</v>
      </c>
      <c r="F128" s="149" t="s">
        <v>290</v>
      </c>
      <c r="G128" s="149">
        <v>244</v>
      </c>
      <c r="H128" s="149"/>
      <c r="I128" s="267">
        <v>300000</v>
      </c>
      <c r="J128" s="210">
        <v>150000</v>
      </c>
      <c r="K128" s="210">
        <v>200000</v>
      </c>
    </row>
    <row r="129" spans="1:11" ht="34.5" customHeight="1">
      <c r="A129" s="148" t="s">
        <v>339</v>
      </c>
      <c r="B129" s="151">
        <v>250</v>
      </c>
      <c r="C129" s="170" t="s">
        <v>173</v>
      </c>
      <c r="D129" s="170" t="s">
        <v>341</v>
      </c>
      <c r="E129" s="170" t="s">
        <v>126</v>
      </c>
      <c r="F129" s="151" t="s">
        <v>342</v>
      </c>
      <c r="G129" s="170" t="s">
        <v>127</v>
      </c>
      <c r="H129" s="170" t="s">
        <v>127</v>
      </c>
      <c r="I129" s="209">
        <f>I130</f>
        <v>1150000</v>
      </c>
      <c r="J129" s="209">
        <f>J130</f>
        <v>150634</v>
      </c>
      <c r="K129" s="209">
        <f>K130</f>
        <v>21805</v>
      </c>
    </row>
    <row r="130" spans="1:11" ht="47.25" customHeight="1">
      <c r="A130" s="171" t="s">
        <v>340</v>
      </c>
      <c r="B130" s="149">
        <v>250</v>
      </c>
      <c r="C130" s="172" t="s">
        <v>173</v>
      </c>
      <c r="D130" s="172" t="s">
        <v>341</v>
      </c>
      <c r="E130" s="172" t="s">
        <v>126</v>
      </c>
      <c r="F130" s="149" t="s">
        <v>343</v>
      </c>
      <c r="G130" s="172" t="s">
        <v>127</v>
      </c>
      <c r="H130" s="172" t="s">
        <v>127</v>
      </c>
      <c r="I130" s="208">
        <f>I132</f>
        <v>1150000</v>
      </c>
      <c r="J130" s="208">
        <f>J132</f>
        <v>150634</v>
      </c>
      <c r="K130" s="208">
        <f>K132</f>
        <v>21805</v>
      </c>
    </row>
    <row r="131" spans="1:11" ht="54">
      <c r="A131" s="171" t="s">
        <v>391</v>
      </c>
      <c r="B131" s="149">
        <v>250</v>
      </c>
      <c r="C131" s="172" t="s">
        <v>173</v>
      </c>
      <c r="D131" s="172" t="s">
        <v>341</v>
      </c>
      <c r="E131" s="172" t="s">
        <v>126</v>
      </c>
      <c r="F131" s="149" t="s">
        <v>343</v>
      </c>
      <c r="G131" s="172" t="s">
        <v>127</v>
      </c>
      <c r="H131" s="172"/>
      <c r="I131" s="208">
        <f>I132</f>
        <v>1150000</v>
      </c>
      <c r="J131" s="208">
        <f>J132</f>
        <v>150634</v>
      </c>
      <c r="K131" s="208">
        <f>K132</f>
        <v>21805</v>
      </c>
    </row>
    <row r="132" spans="1:11" ht="40.5">
      <c r="A132" s="155" t="s">
        <v>161</v>
      </c>
      <c r="B132" s="149">
        <v>250</v>
      </c>
      <c r="C132" s="172" t="s">
        <v>173</v>
      </c>
      <c r="D132" s="172" t="s">
        <v>341</v>
      </c>
      <c r="E132" s="172" t="s">
        <v>126</v>
      </c>
      <c r="F132" s="149" t="s">
        <v>343</v>
      </c>
      <c r="G132" s="172" t="s">
        <v>129</v>
      </c>
      <c r="H132" s="172"/>
      <c r="I132" s="208">
        <f aca="true" t="shared" si="12" ref="I132:K134">I133</f>
        <v>1150000</v>
      </c>
      <c r="J132" s="208">
        <f t="shared" si="12"/>
        <v>150634</v>
      </c>
      <c r="K132" s="208">
        <f t="shared" si="12"/>
        <v>21805</v>
      </c>
    </row>
    <row r="133" spans="1:11" ht="27">
      <c r="A133" s="155" t="s">
        <v>267</v>
      </c>
      <c r="B133" s="149">
        <v>250</v>
      </c>
      <c r="C133" s="172" t="s">
        <v>173</v>
      </c>
      <c r="D133" s="172" t="s">
        <v>341</v>
      </c>
      <c r="E133" s="172" t="s">
        <v>126</v>
      </c>
      <c r="F133" s="149" t="s">
        <v>343</v>
      </c>
      <c r="G133" s="172" t="s">
        <v>268</v>
      </c>
      <c r="H133" s="172"/>
      <c r="I133" s="208">
        <f t="shared" si="12"/>
        <v>1150000</v>
      </c>
      <c r="J133" s="208">
        <f t="shared" si="12"/>
        <v>150634</v>
      </c>
      <c r="K133" s="208">
        <f t="shared" si="12"/>
        <v>21805</v>
      </c>
    </row>
    <row r="134" spans="1:11" ht="29.25" customHeight="1">
      <c r="A134" s="155" t="s">
        <v>272</v>
      </c>
      <c r="B134" s="151">
        <v>250</v>
      </c>
      <c r="C134" s="170" t="s">
        <v>173</v>
      </c>
      <c r="D134" s="170" t="s">
        <v>341</v>
      </c>
      <c r="E134" s="170" t="s">
        <v>126</v>
      </c>
      <c r="F134" s="151" t="s">
        <v>343</v>
      </c>
      <c r="G134" s="172" t="s">
        <v>183</v>
      </c>
      <c r="H134" s="172" t="s">
        <v>127</v>
      </c>
      <c r="I134" s="208">
        <f>I135</f>
        <v>1150000</v>
      </c>
      <c r="J134" s="208">
        <f t="shared" si="12"/>
        <v>150634</v>
      </c>
      <c r="K134" s="208">
        <f t="shared" si="12"/>
        <v>21805</v>
      </c>
    </row>
    <row r="135" spans="1:11" ht="13.5" hidden="1">
      <c r="A135" s="157" t="s">
        <v>164</v>
      </c>
      <c r="B135" s="151">
        <v>250</v>
      </c>
      <c r="C135" s="170" t="s">
        <v>173</v>
      </c>
      <c r="D135" s="170" t="s">
        <v>341</v>
      </c>
      <c r="E135" s="170" t="s">
        <v>126</v>
      </c>
      <c r="F135" s="151" t="s">
        <v>343</v>
      </c>
      <c r="G135" s="172" t="s">
        <v>183</v>
      </c>
      <c r="H135" s="172" t="s">
        <v>162</v>
      </c>
      <c r="I135" s="208">
        <f>1150000</f>
        <v>1150000</v>
      </c>
      <c r="J135" s="210">
        <f>150634</f>
        <v>150634</v>
      </c>
      <c r="K135" s="210">
        <v>21805</v>
      </c>
    </row>
    <row r="136" spans="1:11" ht="62.25" customHeight="1" hidden="1">
      <c r="A136" s="171" t="s">
        <v>363</v>
      </c>
      <c r="B136" s="151">
        <v>250</v>
      </c>
      <c r="C136" s="170" t="s">
        <v>173</v>
      </c>
      <c r="D136" s="170" t="s">
        <v>341</v>
      </c>
      <c r="E136" s="170" t="s">
        <v>126</v>
      </c>
      <c r="F136" s="151" t="s">
        <v>364</v>
      </c>
      <c r="G136" s="172" t="s">
        <v>127</v>
      </c>
      <c r="H136" s="172"/>
      <c r="I136" s="208">
        <f aca="true" t="shared" si="13" ref="I136:K139">I137</f>
        <v>0</v>
      </c>
      <c r="J136" s="208">
        <f t="shared" si="13"/>
        <v>0</v>
      </c>
      <c r="K136" s="208">
        <f t="shared" si="13"/>
        <v>0</v>
      </c>
    </row>
    <row r="137" spans="1:11" ht="40.5" hidden="1">
      <c r="A137" s="155" t="s">
        <v>161</v>
      </c>
      <c r="B137" s="151">
        <v>250</v>
      </c>
      <c r="C137" s="170" t="s">
        <v>173</v>
      </c>
      <c r="D137" s="170" t="s">
        <v>341</v>
      </c>
      <c r="E137" s="170" t="s">
        <v>126</v>
      </c>
      <c r="F137" s="151" t="s">
        <v>364</v>
      </c>
      <c r="G137" s="172" t="s">
        <v>129</v>
      </c>
      <c r="H137" s="172"/>
      <c r="I137" s="208">
        <f t="shared" si="13"/>
        <v>0</v>
      </c>
      <c r="J137" s="208">
        <f t="shared" si="13"/>
        <v>0</v>
      </c>
      <c r="K137" s="208">
        <f t="shared" si="13"/>
        <v>0</v>
      </c>
    </row>
    <row r="138" spans="1:11" ht="27" hidden="1">
      <c r="A138" s="155" t="s">
        <v>267</v>
      </c>
      <c r="B138" s="151">
        <v>250</v>
      </c>
      <c r="C138" s="170" t="s">
        <v>173</v>
      </c>
      <c r="D138" s="170" t="s">
        <v>341</v>
      </c>
      <c r="E138" s="170" t="s">
        <v>126</v>
      </c>
      <c r="F138" s="151" t="s">
        <v>364</v>
      </c>
      <c r="G138" s="172" t="s">
        <v>268</v>
      </c>
      <c r="H138" s="172"/>
      <c r="I138" s="208">
        <f t="shared" si="13"/>
        <v>0</v>
      </c>
      <c r="J138" s="208">
        <f t="shared" si="13"/>
        <v>0</v>
      </c>
      <c r="K138" s="208">
        <f t="shared" si="13"/>
        <v>0</v>
      </c>
    </row>
    <row r="139" spans="1:11" ht="40.5" hidden="1">
      <c r="A139" s="155" t="s">
        <v>272</v>
      </c>
      <c r="B139" s="151">
        <v>250</v>
      </c>
      <c r="C139" s="170" t="s">
        <v>173</v>
      </c>
      <c r="D139" s="170" t="s">
        <v>341</v>
      </c>
      <c r="E139" s="170" t="s">
        <v>126</v>
      </c>
      <c r="F139" s="151" t="s">
        <v>364</v>
      </c>
      <c r="G139" s="172" t="s">
        <v>183</v>
      </c>
      <c r="H139" s="172"/>
      <c r="I139" s="208">
        <f t="shared" si="13"/>
        <v>0</v>
      </c>
      <c r="J139" s="208">
        <v>0</v>
      </c>
      <c r="K139" s="208">
        <v>0</v>
      </c>
    </row>
    <row r="140" spans="1:11" ht="13.5" hidden="1">
      <c r="A140" s="157" t="s">
        <v>164</v>
      </c>
      <c r="B140" s="151">
        <v>250</v>
      </c>
      <c r="C140" s="170" t="s">
        <v>173</v>
      </c>
      <c r="D140" s="170" t="s">
        <v>341</v>
      </c>
      <c r="E140" s="170" t="s">
        <v>126</v>
      </c>
      <c r="F140" s="151" t="s">
        <v>364</v>
      </c>
      <c r="G140" s="172" t="s">
        <v>183</v>
      </c>
      <c r="H140" s="172"/>
      <c r="I140" s="208">
        <v>0</v>
      </c>
      <c r="J140" s="210">
        <v>0</v>
      </c>
      <c r="K140" s="210">
        <v>0</v>
      </c>
    </row>
    <row r="141" spans="1:14" ht="13.5">
      <c r="A141" s="181" t="s">
        <v>76</v>
      </c>
      <c r="B141" s="182">
        <v>250</v>
      </c>
      <c r="C141" s="258" t="s">
        <v>179</v>
      </c>
      <c r="D141" s="258" t="s">
        <v>125</v>
      </c>
      <c r="E141" s="258" t="s">
        <v>126</v>
      </c>
      <c r="F141" s="182" t="s">
        <v>291</v>
      </c>
      <c r="G141" s="183"/>
      <c r="H141" s="183"/>
      <c r="I141" s="281">
        <f>I150+I142</f>
        <v>6638692.52</v>
      </c>
      <c r="J141" s="211">
        <f>J142+J150</f>
        <v>1445310</v>
      </c>
      <c r="K141" s="211">
        <f>K142+K150</f>
        <v>1021666</v>
      </c>
      <c r="M141" s="40"/>
      <c r="N141" s="40"/>
    </row>
    <row r="142" spans="1:11" ht="27">
      <c r="A142" s="148" t="s">
        <v>362</v>
      </c>
      <c r="B142" s="151">
        <v>250</v>
      </c>
      <c r="C142" s="170" t="s">
        <v>179</v>
      </c>
      <c r="D142" s="170" t="s">
        <v>149</v>
      </c>
      <c r="E142" s="170"/>
      <c r="F142" s="151" t="s">
        <v>418</v>
      </c>
      <c r="G142" s="173" t="s">
        <v>127</v>
      </c>
      <c r="H142" s="173"/>
      <c r="I142" s="209">
        <f aca="true" t="shared" si="14" ref="I142:K144">I143</f>
        <v>1048481</v>
      </c>
      <c r="J142" s="209">
        <f t="shared" si="14"/>
        <v>176805</v>
      </c>
      <c r="K142" s="209">
        <f t="shared" si="14"/>
        <v>5000</v>
      </c>
    </row>
    <row r="143" spans="1:11" ht="40.5">
      <c r="A143" s="155" t="s">
        <v>161</v>
      </c>
      <c r="B143" s="151">
        <v>250</v>
      </c>
      <c r="C143" s="170" t="s">
        <v>179</v>
      </c>
      <c r="D143" s="170" t="s">
        <v>149</v>
      </c>
      <c r="E143" s="170"/>
      <c r="F143" s="151" t="s">
        <v>418</v>
      </c>
      <c r="G143" s="169" t="s">
        <v>129</v>
      </c>
      <c r="H143" s="169"/>
      <c r="I143" s="208">
        <f t="shared" si="14"/>
        <v>1048481</v>
      </c>
      <c r="J143" s="208">
        <f t="shared" si="14"/>
        <v>176805</v>
      </c>
      <c r="K143" s="208">
        <f t="shared" si="14"/>
        <v>5000</v>
      </c>
    </row>
    <row r="144" spans="1:11" ht="27">
      <c r="A144" s="155" t="s">
        <v>267</v>
      </c>
      <c r="B144" s="151">
        <v>250</v>
      </c>
      <c r="C144" s="170" t="s">
        <v>179</v>
      </c>
      <c r="D144" s="170" t="s">
        <v>149</v>
      </c>
      <c r="E144" s="170"/>
      <c r="F144" s="151" t="s">
        <v>418</v>
      </c>
      <c r="G144" s="169" t="s">
        <v>268</v>
      </c>
      <c r="H144" s="169"/>
      <c r="I144" s="208">
        <f t="shared" si="14"/>
        <v>1048481</v>
      </c>
      <c r="J144" s="208">
        <f t="shared" si="14"/>
        <v>176805</v>
      </c>
      <c r="K144" s="208">
        <f t="shared" si="14"/>
        <v>5000</v>
      </c>
    </row>
    <row r="145" spans="1:11" ht="43.5" customHeight="1">
      <c r="A145" s="155" t="s">
        <v>163</v>
      </c>
      <c r="B145" s="151">
        <v>250</v>
      </c>
      <c r="C145" s="170" t="s">
        <v>179</v>
      </c>
      <c r="D145" s="170" t="s">
        <v>149</v>
      </c>
      <c r="E145" s="170"/>
      <c r="F145" s="151" t="s">
        <v>418</v>
      </c>
      <c r="G145" s="169" t="s">
        <v>183</v>
      </c>
      <c r="H145" s="169"/>
      <c r="I145" s="208">
        <f>I147+I149+I146+I148</f>
        <v>1048481</v>
      </c>
      <c r="J145" s="208">
        <f>J147+J149+J146+J148</f>
        <v>176805</v>
      </c>
      <c r="K145" s="208">
        <f>K147+K146+K149</f>
        <v>5000</v>
      </c>
    </row>
    <row r="146" spans="1:11" ht="17.25" customHeight="1" hidden="1">
      <c r="A146" s="157" t="s">
        <v>432</v>
      </c>
      <c r="B146" s="151"/>
      <c r="C146" s="170"/>
      <c r="D146" s="170"/>
      <c r="E146" s="170"/>
      <c r="F146" s="151"/>
      <c r="G146" s="169" t="s">
        <v>433</v>
      </c>
      <c r="H146" s="169"/>
      <c r="I146" s="208">
        <v>100000</v>
      </c>
      <c r="J146" s="208"/>
      <c r="K146" s="208"/>
    </row>
    <row r="147" spans="1:11" ht="13.5" hidden="1">
      <c r="A147" s="259" t="s">
        <v>410</v>
      </c>
      <c r="B147" s="151">
        <v>250</v>
      </c>
      <c r="C147" s="170" t="s">
        <v>179</v>
      </c>
      <c r="D147" s="170" t="s">
        <v>149</v>
      </c>
      <c r="E147" s="170"/>
      <c r="F147" s="151" t="s">
        <v>361</v>
      </c>
      <c r="G147" s="169" t="s">
        <v>160</v>
      </c>
      <c r="H147" s="169"/>
      <c r="I147" s="208">
        <f>50000+48548+500000</f>
        <v>598548</v>
      </c>
      <c r="J147" s="208">
        <f>20000+150634-37658</f>
        <v>132976</v>
      </c>
      <c r="K147" s="208">
        <v>5000</v>
      </c>
    </row>
    <row r="148" spans="1:11" ht="13.5" hidden="1">
      <c r="A148" s="259" t="s">
        <v>434</v>
      </c>
      <c r="B148" s="151"/>
      <c r="C148" s="170"/>
      <c r="D148" s="170"/>
      <c r="E148" s="170"/>
      <c r="F148" s="151"/>
      <c r="G148" s="169" t="s">
        <v>435</v>
      </c>
      <c r="H148" s="169"/>
      <c r="I148" s="208">
        <v>150000</v>
      </c>
      <c r="J148" s="208"/>
      <c r="K148" s="208"/>
    </row>
    <row r="149" spans="1:11" ht="13.5" hidden="1">
      <c r="A149" s="259" t="s">
        <v>420</v>
      </c>
      <c r="B149" s="151">
        <v>250</v>
      </c>
      <c r="C149" s="170" t="s">
        <v>179</v>
      </c>
      <c r="D149" s="170" t="s">
        <v>149</v>
      </c>
      <c r="E149" s="170"/>
      <c r="F149" s="151" t="s">
        <v>361</v>
      </c>
      <c r="G149" s="169" t="s">
        <v>162</v>
      </c>
      <c r="H149" s="169"/>
      <c r="I149" s="208">
        <f>49933+150000</f>
        <v>199933</v>
      </c>
      <c r="J149" s="208">
        <v>43829</v>
      </c>
      <c r="K149" s="208"/>
    </row>
    <row r="150" spans="1:14" ht="13.5">
      <c r="A150" s="181" t="s">
        <v>254</v>
      </c>
      <c r="B150" s="182">
        <v>250</v>
      </c>
      <c r="C150" s="182" t="s">
        <v>74</v>
      </c>
      <c r="D150" s="182" t="s">
        <v>43</v>
      </c>
      <c r="E150" s="182" t="s">
        <v>3</v>
      </c>
      <c r="F150" s="182" t="s">
        <v>338</v>
      </c>
      <c r="G150" s="182"/>
      <c r="H150" s="183" t="s">
        <v>127</v>
      </c>
      <c r="I150" s="281">
        <f>I151+I158+I166+I173+I180+I186+I198+I206+I214+I223</f>
        <v>5590211.52</v>
      </c>
      <c r="J150" s="211">
        <f>J151+J158+J166+J173+J180+J186+J198+J206+J214+J223</f>
        <v>1268505</v>
      </c>
      <c r="K150" s="211">
        <f>K151+K158+K166+K173+K180+K186+K198+K206+K214+K223</f>
        <v>1016666</v>
      </c>
      <c r="N150" s="40"/>
    </row>
    <row r="151" spans="1:14" ht="40.5">
      <c r="A151" s="148" t="s">
        <v>251</v>
      </c>
      <c r="B151" s="151">
        <v>250</v>
      </c>
      <c r="C151" s="151" t="s">
        <v>74</v>
      </c>
      <c r="D151" s="151" t="s">
        <v>43</v>
      </c>
      <c r="E151" s="151" t="s">
        <v>136</v>
      </c>
      <c r="F151" s="151" t="s">
        <v>419</v>
      </c>
      <c r="G151" s="151">
        <v>0</v>
      </c>
      <c r="H151" s="173" t="s">
        <v>127</v>
      </c>
      <c r="I151" s="209">
        <f>SUM(I154)</f>
        <v>839690</v>
      </c>
      <c r="J151" s="209">
        <f>SUM(J154)</f>
        <v>100000</v>
      </c>
      <c r="K151" s="209">
        <f>SUM(K154)</f>
        <v>10000</v>
      </c>
      <c r="N151" s="40"/>
    </row>
    <row r="152" spans="1:13" ht="40.5">
      <c r="A152" s="155" t="s">
        <v>161</v>
      </c>
      <c r="B152" s="151">
        <v>250</v>
      </c>
      <c r="C152" s="149" t="s">
        <v>74</v>
      </c>
      <c r="D152" s="149" t="s">
        <v>43</v>
      </c>
      <c r="E152" s="149" t="s">
        <v>136</v>
      </c>
      <c r="F152" s="149" t="s">
        <v>419</v>
      </c>
      <c r="G152" s="149">
        <v>200</v>
      </c>
      <c r="H152" s="173"/>
      <c r="I152" s="208">
        <f aca="true" t="shared" si="15" ref="I152:K153">I153</f>
        <v>839690</v>
      </c>
      <c r="J152" s="208">
        <f t="shared" si="15"/>
        <v>100000</v>
      </c>
      <c r="K152" s="208">
        <f t="shared" si="15"/>
        <v>10000</v>
      </c>
      <c r="M152" s="40"/>
    </row>
    <row r="153" spans="1:11" ht="27">
      <c r="A153" s="155" t="s">
        <v>267</v>
      </c>
      <c r="B153" s="151">
        <v>250</v>
      </c>
      <c r="C153" s="149" t="s">
        <v>74</v>
      </c>
      <c r="D153" s="149" t="s">
        <v>43</v>
      </c>
      <c r="E153" s="149" t="s">
        <v>136</v>
      </c>
      <c r="F153" s="149" t="s">
        <v>419</v>
      </c>
      <c r="G153" s="149">
        <v>240</v>
      </c>
      <c r="H153" s="173"/>
      <c r="I153" s="208">
        <f t="shared" si="15"/>
        <v>839690</v>
      </c>
      <c r="J153" s="208">
        <f t="shared" si="15"/>
        <v>100000</v>
      </c>
      <c r="K153" s="208">
        <f t="shared" si="15"/>
        <v>10000</v>
      </c>
    </row>
    <row r="154" spans="1:11" ht="41.25" customHeight="1">
      <c r="A154" s="155" t="s">
        <v>163</v>
      </c>
      <c r="B154" s="151">
        <v>250</v>
      </c>
      <c r="C154" s="149" t="s">
        <v>74</v>
      </c>
      <c r="D154" s="149" t="s">
        <v>43</v>
      </c>
      <c r="E154" s="149" t="s">
        <v>136</v>
      </c>
      <c r="F154" s="149" t="s">
        <v>419</v>
      </c>
      <c r="G154" s="149">
        <v>244</v>
      </c>
      <c r="H154" s="173" t="s">
        <v>127</v>
      </c>
      <c r="I154" s="208">
        <f>I157+I155+I156</f>
        <v>839690</v>
      </c>
      <c r="J154" s="208">
        <f>J157+J155+J156</f>
        <v>100000</v>
      </c>
      <c r="K154" s="208">
        <f>K157+K155+K156</f>
        <v>10000</v>
      </c>
    </row>
    <row r="155" spans="1:11" ht="26.25" customHeight="1" hidden="1">
      <c r="A155" s="157" t="s">
        <v>164</v>
      </c>
      <c r="B155" s="151">
        <f aca="true" t="shared" si="16" ref="B155:D156">B156</f>
        <v>250</v>
      </c>
      <c r="C155" s="149" t="str">
        <f t="shared" si="16"/>
        <v>О5</v>
      </c>
      <c r="D155" s="149" t="str">
        <f t="shared" si="16"/>
        <v>О3</v>
      </c>
      <c r="E155" s="149"/>
      <c r="F155" s="149" t="str">
        <f>F156</f>
        <v>91 4 05 90190</v>
      </c>
      <c r="G155" s="149">
        <v>226</v>
      </c>
      <c r="H155" s="173"/>
      <c r="I155" s="208">
        <f>300000+200000-60310</f>
        <v>439690</v>
      </c>
      <c r="J155" s="208">
        <v>0</v>
      </c>
      <c r="K155" s="208">
        <v>0</v>
      </c>
    </row>
    <row r="156" spans="1:11" ht="29.25" customHeight="1" hidden="1">
      <c r="A156" s="157" t="s">
        <v>21</v>
      </c>
      <c r="B156" s="151">
        <f t="shared" si="16"/>
        <v>250</v>
      </c>
      <c r="C156" s="149" t="str">
        <f t="shared" si="16"/>
        <v>О5</v>
      </c>
      <c r="D156" s="149" t="str">
        <f t="shared" si="16"/>
        <v>О3</v>
      </c>
      <c r="E156" s="149"/>
      <c r="F156" s="149" t="str">
        <f>F157</f>
        <v>91 4 05 90190</v>
      </c>
      <c r="G156" s="149">
        <v>310</v>
      </c>
      <c r="H156" s="173"/>
      <c r="I156" s="208">
        <v>100000</v>
      </c>
      <c r="J156" s="208">
        <v>0</v>
      </c>
      <c r="K156" s="208">
        <v>0</v>
      </c>
    </row>
    <row r="157" spans="1:11" ht="30.75" customHeight="1" hidden="1">
      <c r="A157" s="157" t="s">
        <v>137</v>
      </c>
      <c r="B157" s="151">
        <v>250</v>
      </c>
      <c r="C157" s="149" t="s">
        <v>74</v>
      </c>
      <c r="D157" s="149" t="s">
        <v>43</v>
      </c>
      <c r="E157" s="149" t="s">
        <v>136</v>
      </c>
      <c r="F157" s="149" t="s">
        <v>419</v>
      </c>
      <c r="G157" s="149">
        <v>340</v>
      </c>
      <c r="H157" s="149">
        <v>340</v>
      </c>
      <c r="I157" s="208">
        <f>50000+100000+150000</f>
        <v>300000</v>
      </c>
      <c r="J157" s="210">
        <f>10000+190000-100000</f>
        <v>100000</v>
      </c>
      <c r="K157" s="210">
        <v>10000</v>
      </c>
    </row>
    <row r="158" spans="1:11" ht="13.5">
      <c r="A158" s="148" t="s">
        <v>253</v>
      </c>
      <c r="B158" s="151">
        <v>250</v>
      </c>
      <c r="C158" s="158" t="s">
        <v>179</v>
      </c>
      <c r="D158" s="158" t="s">
        <v>180</v>
      </c>
      <c r="E158" s="158" t="s">
        <v>245</v>
      </c>
      <c r="F158" s="151" t="s">
        <v>292</v>
      </c>
      <c r="G158" s="173"/>
      <c r="H158" s="173" t="s">
        <v>127</v>
      </c>
      <c r="I158" s="266">
        <f>I161</f>
        <v>300141.69</v>
      </c>
      <c r="J158" s="209">
        <f>J159</f>
        <v>200000</v>
      </c>
      <c r="K158" s="209">
        <f>K159</f>
        <v>5000</v>
      </c>
    </row>
    <row r="159" spans="1:11" ht="40.5">
      <c r="A159" s="155" t="s">
        <v>161</v>
      </c>
      <c r="B159" s="151">
        <v>250</v>
      </c>
      <c r="C159" s="156" t="s">
        <v>179</v>
      </c>
      <c r="D159" s="156" t="s">
        <v>180</v>
      </c>
      <c r="E159" s="156" t="s">
        <v>245</v>
      </c>
      <c r="F159" s="149" t="s">
        <v>292</v>
      </c>
      <c r="G159" s="169" t="s">
        <v>129</v>
      </c>
      <c r="H159" s="173"/>
      <c r="I159" s="267">
        <f aca="true" t="shared" si="17" ref="I159:K160">I160</f>
        <v>300141.69</v>
      </c>
      <c r="J159" s="208">
        <f t="shared" si="17"/>
        <v>200000</v>
      </c>
      <c r="K159" s="208">
        <f t="shared" si="17"/>
        <v>5000</v>
      </c>
    </row>
    <row r="160" spans="1:11" ht="27">
      <c r="A160" s="155" t="s">
        <v>267</v>
      </c>
      <c r="B160" s="151">
        <v>250</v>
      </c>
      <c r="C160" s="156" t="s">
        <v>179</v>
      </c>
      <c r="D160" s="156" t="s">
        <v>180</v>
      </c>
      <c r="E160" s="156" t="s">
        <v>245</v>
      </c>
      <c r="F160" s="149" t="s">
        <v>292</v>
      </c>
      <c r="G160" s="169" t="s">
        <v>268</v>
      </c>
      <c r="H160" s="173"/>
      <c r="I160" s="267">
        <f t="shared" si="17"/>
        <v>300141.69</v>
      </c>
      <c r="J160" s="208">
        <f t="shared" si="17"/>
        <v>200000</v>
      </c>
      <c r="K160" s="208">
        <f t="shared" si="17"/>
        <v>5000</v>
      </c>
    </row>
    <row r="161" spans="1:11" ht="40.5">
      <c r="A161" s="155" t="s">
        <v>163</v>
      </c>
      <c r="B161" s="151">
        <v>250</v>
      </c>
      <c r="C161" s="156" t="s">
        <v>179</v>
      </c>
      <c r="D161" s="156" t="s">
        <v>180</v>
      </c>
      <c r="E161" s="156" t="s">
        <v>245</v>
      </c>
      <c r="F161" s="149" t="s">
        <v>292</v>
      </c>
      <c r="G161" s="149">
        <v>244</v>
      </c>
      <c r="H161" s="173" t="s">
        <v>127</v>
      </c>
      <c r="I161" s="267">
        <f>I162+I163+I164+I165</f>
        <v>300141.69</v>
      </c>
      <c r="J161" s="208">
        <f>J162+J163+J164+J165</f>
        <v>200000</v>
      </c>
      <c r="K161" s="208">
        <f>K162+K163+K164+K165</f>
        <v>5000</v>
      </c>
    </row>
    <row r="162" spans="1:11" ht="27" hidden="1">
      <c r="A162" s="160" t="s">
        <v>108</v>
      </c>
      <c r="B162" s="151">
        <v>250</v>
      </c>
      <c r="C162" s="156" t="s">
        <v>179</v>
      </c>
      <c r="D162" s="156" t="s">
        <v>180</v>
      </c>
      <c r="E162" s="156" t="s">
        <v>245</v>
      </c>
      <c r="F162" s="149" t="s">
        <v>292</v>
      </c>
      <c r="G162" s="149">
        <v>244</v>
      </c>
      <c r="H162" s="173"/>
      <c r="I162" s="208">
        <v>0</v>
      </c>
      <c r="J162" s="208">
        <v>0</v>
      </c>
      <c r="K162" s="208">
        <v>0</v>
      </c>
    </row>
    <row r="163" spans="1:11" ht="13.5" hidden="1">
      <c r="A163" s="157" t="s">
        <v>164</v>
      </c>
      <c r="B163" s="151">
        <v>250</v>
      </c>
      <c r="C163" s="156" t="s">
        <v>179</v>
      </c>
      <c r="D163" s="156" t="s">
        <v>180</v>
      </c>
      <c r="E163" s="156" t="s">
        <v>245</v>
      </c>
      <c r="F163" s="149" t="s">
        <v>292</v>
      </c>
      <c r="G163" s="149">
        <v>244</v>
      </c>
      <c r="H163" s="173"/>
      <c r="I163" s="208">
        <f>15000+5262+200000</f>
        <v>220262</v>
      </c>
      <c r="J163" s="208">
        <f>20000+180000</f>
        <v>200000</v>
      </c>
      <c r="K163" s="208">
        <v>5000</v>
      </c>
    </row>
    <row r="164" spans="1:11" ht="27" hidden="1">
      <c r="A164" s="157" t="s">
        <v>21</v>
      </c>
      <c r="B164" s="151">
        <v>250</v>
      </c>
      <c r="C164" s="156" t="s">
        <v>179</v>
      </c>
      <c r="D164" s="156" t="s">
        <v>180</v>
      </c>
      <c r="E164" s="156" t="s">
        <v>245</v>
      </c>
      <c r="F164" s="149" t="s">
        <v>292</v>
      </c>
      <c r="G164" s="149">
        <v>244</v>
      </c>
      <c r="H164" s="173"/>
      <c r="I164" s="208">
        <v>0</v>
      </c>
      <c r="J164" s="208">
        <v>0</v>
      </c>
      <c r="K164" s="208">
        <v>0</v>
      </c>
    </row>
    <row r="165" spans="1:11" ht="27" hidden="1">
      <c r="A165" s="157" t="s">
        <v>137</v>
      </c>
      <c r="B165" s="151">
        <v>250</v>
      </c>
      <c r="C165" s="156" t="s">
        <v>179</v>
      </c>
      <c r="D165" s="156" t="s">
        <v>180</v>
      </c>
      <c r="E165" s="156" t="s">
        <v>245</v>
      </c>
      <c r="F165" s="149" t="s">
        <v>292</v>
      </c>
      <c r="G165" s="149">
        <v>244</v>
      </c>
      <c r="H165" s="149">
        <v>340</v>
      </c>
      <c r="I165" s="208">
        <v>79879.69</v>
      </c>
      <c r="J165" s="210">
        <v>0</v>
      </c>
      <c r="K165" s="210">
        <v>0</v>
      </c>
    </row>
    <row r="166" spans="1:11" ht="27">
      <c r="A166" s="148" t="s">
        <v>252</v>
      </c>
      <c r="B166" s="151">
        <v>250</v>
      </c>
      <c r="C166" s="158" t="s">
        <v>179</v>
      </c>
      <c r="D166" s="158" t="s">
        <v>180</v>
      </c>
      <c r="E166" s="158" t="s">
        <v>246</v>
      </c>
      <c r="F166" s="151" t="s">
        <v>293</v>
      </c>
      <c r="G166" s="151">
        <v>0</v>
      </c>
      <c r="H166" s="173" t="s">
        <v>127</v>
      </c>
      <c r="I166" s="209">
        <f>I169</f>
        <v>50000</v>
      </c>
      <c r="J166" s="209">
        <f>J169</f>
        <v>50000</v>
      </c>
      <c r="K166" s="209">
        <f>K169</f>
        <v>5000</v>
      </c>
    </row>
    <row r="167" spans="1:11" ht="40.5">
      <c r="A167" s="155" t="s">
        <v>161</v>
      </c>
      <c r="B167" s="151">
        <v>250</v>
      </c>
      <c r="C167" s="156" t="s">
        <v>179</v>
      </c>
      <c r="D167" s="156" t="s">
        <v>180</v>
      </c>
      <c r="E167" s="156" t="s">
        <v>246</v>
      </c>
      <c r="F167" s="149" t="s">
        <v>293</v>
      </c>
      <c r="G167" s="149">
        <v>200</v>
      </c>
      <c r="H167" s="173"/>
      <c r="I167" s="208">
        <f aca="true" t="shared" si="18" ref="I167:K168">I168</f>
        <v>50000</v>
      </c>
      <c r="J167" s="208">
        <f t="shared" si="18"/>
        <v>50000</v>
      </c>
      <c r="K167" s="208">
        <f t="shared" si="18"/>
        <v>5000</v>
      </c>
    </row>
    <row r="168" spans="1:11" ht="27">
      <c r="A168" s="155" t="s">
        <v>267</v>
      </c>
      <c r="B168" s="151">
        <v>250</v>
      </c>
      <c r="C168" s="156" t="s">
        <v>179</v>
      </c>
      <c r="D168" s="156" t="s">
        <v>180</v>
      </c>
      <c r="E168" s="156" t="s">
        <v>246</v>
      </c>
      <c r="F168" s="149" t="s">
        <v>293</v>
      </c>
      <c r="G168" s="149">
        <v>240</v>
      </c>
      <c r="H168" s="173"/>
      <c r="I168" s="208">
        <f t="shared" si="18"/>
        <v>50000</v>
      </c>
      <c r="J168" s="208">
        <f t="shared" si="18"/>
        <v>50000</v>
      </c>
      <c r="K168" s="208">
        <f t="shared" si="18"/>
        <v>5000</v>
      </c>
    </row>
    <row r="169" spans="1:11" ht="40.5">
      <c r="A169" s="155" t="s">
        <v>163</v>
      </c>
      <c r="B169" s="151">
        <v>250</v>
      </c>
      <c r="C169" s="156" t="s">
        <v>179</v>
      </c>
      <c r="D169" s="156" t="s">
        <v>180</v>
      </c>
      <c r="E169" s="156" t="s">
        <v>246</v>
      </c>
      <c r="F169" s="151" t="s">
        <v>293</v>
      </c>
      <c r="G169" s="149">
        <v>244</v>
      </c>
      <c r="H169" s="173" t="s">
        <v>127</v>
      </c>
      <c r="I169" s="208">
        <f>I172+I171+I170</f>
        <v>50000</v>
      </c>
      <c r="J169" s="208">
        <f>J170+J171+J172</f>
        <v>50000</v>
      </c>
      <c r="K169" s="208">
        <f>K170+K171+K172</f>
        <v>5000</v>
      </c>
    </row>
    <row r="170" spans="1:11" ht="13.5" hidden="1">
      <c r="A170" s="157" t="s">
        <v>164</v>
      </c>
      <c r="B170" s="151">
        <v>250</v>
      </c>
      <c r="C170" s="156" t="s">
        <v>179</v>
      </c>
      <c r="D170" s="156" t="s">
        <v>180</v>
      </c>
      <c r="E170" s="156" t="s">
        <v>246</v>
      </c>
      <c r="F170" s="151" t="s">
        <v>293</v>
      </c>
      <c r="G170" s="149">
        <v>244</v>
      </c>
      <c r="H170" s="173"/>
      <c r="I170" s="208">
        <v>40000</v>
      </c>
      <c r="J170" s="208">
        <v>50000</v>
      </c>
      <c r="K170" s="208">
        <v>5000</v>
      </c>
    </row>
    <row r="171" spans="1:11" ht="27" hidden="1">
      <c r="A171" s="157" t="s">
        <v>21</v>
      </c>
      <c r="B171" s="151">
        <v>250</v>
      </c>
      <c r="C171" s="156" t="s">
        <v>179</v>
      </c>
      <c r="D171" s="156" t="s">
        <v>180</v>
      </c>
      <c r="E171" s="156" t="s">
        <v>246</v>
      </c>
      <c r="F171" s="151" t="s">
        <v>293</v>
      </c>
      <c r="G171" s="149">
        <v>244</v>
      </c>
      <c r="H171" s="173"/>
      <c r="I171" s="208">
        <v>0</v>
      </c>
      <c r="J171" s="208">
        <v>0</v>
      </c>
      <c r="K171" s="208">
        <v>0</v>
      </c>
    </row>
    <row r="172" spans="1:11" ht="27" hidden="1">
      <c r="A172" s="157" t="s">
        <v>137</v>
      </c>
      <c r="B172" s="151">
        <v>250</v>
      </c>
      <c r="C172" s="156" t="s">
        <v>179</v>
      </c>
      <c r="D172" s="156" t="s">
        <v>180</v>
      </c>
      <c r="E172" s="156" t="s">
        <v>246</v>
      </c>
      <c r="F172" s="151" t="s">
        <v>293</v>
      </c>
      <c r="G172" s="149">
        <v>244</v>
      </c>
      <c r="H172" s="149">
        <v>340</v>
      </c>
      <c r="I172" s="208">
        <v>10000</v>
      </c>
      <c r="J172" s="210">
        <v>0</v>
      </c>
      <c r="K172" s="210">
        <v>0</v>
      </c>
    </row>
    <row r="173" spans="1:11" ht="40.5">
      <c r="A173" s="148" t="s">
        <v>394</v>
      </c>
      <c r="B173" s="151">
        <v>250</v>
      </c>
      <c r="C173" s="151" t="s">
        <v>74</v>
      </c>
      <c r="D173" s="151" t="s">
        <v>43</v>
      </c>
      <c r="E173" s="151" t="s">
        <v>138</v>
      </c>
      <c r="F173" s="151" t="s">
        <v>395</v>
      </c>
      <c r="G173" s="151" t="s">
        <v>4</v>
      </c>
      <c r="H173" s="173" t="s">
        <v>127</v>
      </c>
      <c r="I173" s="266">
        <f>SUM(I176)</f>
        <v>1226515.63</v>
      </c>
      <c r="J173" s="209">
        <f>SUM(J176)</f>
        <v>866700</v>
      </c>
      <c r="K173" s="209">
        <f>SUM(K176)</f>
        <v>866700</v>
      </c>
    </row>
    <row r="174" spans="1:11" ht="40.5">
      <c r="A174" s="155" t="s">
        <v>161</v>
      </c>
      <c r="B174" s="151">
        <v>250</v>
      </c>
      <c r="C174" s="149" t="s">
        <v>74</v>
      </c>
      <c r="D174" s="149" t="s">
        <v>43</v>
      </c>
      <c r="E174" s="149" t="s">
        <v>138</v>
      </c>
      <c r="F174" s="149" t="str">
        <f>F173</f>
        <v>91 4 06 S2370</v>
      </c>
      <c r="G174" s="149">
        <v>200</v>
      </c>
      <c r="H174" s="173"/>
      <c r="I174" s="267">
        <f aca="true" t="shared" si="19" ref="I174:K175">I175</f>
        <v>1226515.63</v>
      </c>
      <c r="J174" s="208">
        <f t="shared" si="19"/>
        <v>866700</v>
      </c>
      <c r="K174" s="208">
        <f t="shared" si="19"/>
        <v>866700</v>
      </c>
    </row>
    <row r="175" spans="1:15" ht="27">
      <c r="A175" s="155" t="s">
        <v>267</v>
      </c>
      <c r="B175" s="151">
        <v>250</v>
      </c>
      <c r="C175" s="149" t="s">
        <v>74</v>
      </c>
      <c r="D175" s="149" t="s">
        <v>43</v>
      </c>
      <c r="E175" s="149" t="s">
        <v>138</v>
      </c>
      <c r="F175" s="149" t="str">
        <f>F174</f>
        <v>91 4 06 S2370</v>
      </c>
      <c r="G175" s="149">
        <v>240</v>
      </c>
      <c r="H175" s="173"/>
      <c r="I175" s="267">
        <f t="shared" si="19"/>
        <v>1226515.63</v>
      </c>
      <c r="J175" s="208">
        <f t="shared" si="19"/>
        <v>866700</v>
      </c>
      <c r="K175" s="208">
        <f t="shared" si="19"/>
        <v>866700</v>
      </c>
      <c r="O175" s="194"/>
    </row>
    <row r="176" spans="1:15" ht="40.5">
      <c r="A176" s="155" t="s">
        <v>163</v>
      </c>
      <c r="B176" s="151">
        <v>250</v>
      </c>
      <c r="C176" s="149" t="s">
        <v>74</v>
      </c>
      <c r="D176" s="149" t="s">
        <v>43</v>
      </c>
      <c r="E176" s="149" t="s">
        <v>138</v>
      </c>
      <c r="F176" s="149" t="str">
        <f>F175</f>
        <v>91 4 06 S2370</v>
      </c>
      <c r="G176" s="149">
        <v>244</v>
      </c>
      <c r="H176" s="173" t="s">
        <v>127</v>
      </c>
      <c r="I176" s="267">
        <f>I178+I179</f>
        <v>1226515.63</v>
      </c>
      <c r="J176" s="208">
        <f>J177+J178+J179</f>
        <v>866700</v>
      </c>
      <c r="K176" s="208">
        <f>K177+K178+K179</f>
        <v>866700</v>
      </c>
      <c r="O176" s="194"/>
    </row>
    <row r="177" spans="1:11" ht="0.75" customHeight="1">
      <c r="A177" s="157" t="s">
        <v>137</v>
      </c>
      <c r="B177" s="151">
        <v>250</v>
      </c>
      <c r="C177" s="149" t="s">
        <v>74</v>
      </c>
      <c r="D177" s="149" t="s">
        <v>43</v>
      </c>
      <c r="E177" s="149" t="s">
        <v>138</v>
      </c>
      <c r="F177" s="149"/>
      <c r="G177" s="149">
        <v>244</v>
      </c>
      <c r="H177" s="149"/>
      <c r="I177" s="208">
        <v>0</v>
      </c>
      <c r="J177" s="210"/>
      <c r="K177" s="210"/>
    </row>
    <row r="178" spans="1:11" ht="15.75" customHeight="1" hidden="1">
      <c r="A178" s="157" t="s">
        <v>164</v>
      </c>
      <c r="B178" s="151">
        <v>250</v>
      </c>
      <c r="C178" s="149" t="s">
        <v>74</v>
      </c>
      <c r="D178" s="149" t="s">
        <v>43</v>
      </c>
      <c r="E178" s="149" t="s">
        <v>138</v>
      </c>
      <c r="F178" s="149" t="str">
        <f>F176</f>
        <v>91 4 06 S2370</v>
      </c>
      <c r="G178" s="149">
        <v>226</v>
      </c>
      <c r="H178" s="149">
        <v>226</v>
      </c>
      <c r="I178" s="267">
        <f>600000+359000-100000</f>
        <v>859000</v>
      </c>
      <c r="J178" s="210">
        <v>566700</v>
      </c>
      <c r="K178" s="210">
        <v>566700</v>
      </c>
    </row>
    <row r="179" spans="1:11" ht="25.5" customHeight="1" hidden="1">
      <c r="A179" s="157" t="s">
        <v>137</v>
      </c>
      <c r="B179" s="151">
        <v>250</v>
      </c>
      <c r="C179" s="149" t="s">
        <v>74</v>
      </c>
      <c r="D179" s="149" t="s">
        <v>43</v>
      </c>
      <c r="E179" s="149" t="s">
        <v>138</v>
      </c>
      <c r="F179" s="149" t="str">
        <f aca="true" t="shared" si="20" ref="F179:F185">F178</f>
        <v>91 4 06 S2370</v>
      </c>
      <c r="G179" s="149">
        <v>340</v>
      </c>
      <c r="H179" s="149">
        <v>340</v>
      </c>
      <c r="I179" s="267">
        <f>655500-287984.37</f>
        <v>367515.63</v>
      </c>
      <c r="J179" s="210">
        <v>300000</v>
      </c>
      <c r="K179" s="210">
        <v>300000</v>
      </c>
    </row>
    <row r="180" spans="1:11" ht="54">
      <c r="A180" s="148" t="s">
        <v>396</v>
      </c>
      <c r="B180" s="151">
        <v>250</v>
      </c>
      <c r="C180" s="149" t="s">
        <v>74</v>
      </c>
      <c r="D180" s="149" t="s">
        <v>43</v>
      </c>
      <c r="E180" s="149" t="s">
        <v>138</v>
      </c>
      <c r="F180" s="149" t="str">
        <f t="shared" si="20"/>
        <v>91 4 06 S2370</v>
      </c>
      <c r="G180" s="158" t="s">
        <v>127</v>
      </c>
      <c r="H180" s="173" t="s">
        <v>127</v>
      </c>
      <c r="I180" s="283">
        <f aca="true" t="shared" si="21" ref="I180:K181">I181</f>
        <v>37984.37</v>
      </c>
      <c r="J180" s="212">
        <f t="shared" si="21"/>
        <v>26805</v>
      </c>
      <c r="K180" s="212">
        <f t="shared" si="21"/>
        <v>26805</v>
      </c>
    </row>
    <row r="181" spans="1:15" ht="45" customHeight="1">
      <c r="A181" s="155" t="s">
        <v>161</v>
      </c>
      <c r="B181" s="151">
        <v>250</v>
      </c>
      <c r="C181" s="149" t="s">
        <v>74</v>
      </c>
      <c r="D181" s="149" t="s">
        <v>43</v>
      </c>
      <c r="E181" s="149" t="s">
        <v>138</v>
      </c>
      <c r="F181" s="149" t="str">
        <f t="shared" si="20"/>
        <v>91 4 06 S2370</v>
      </c>
      <c r="G181" s="156" t="s">
        <v>129</v>
      </c>
      <c r="H181" s="173" t="s">
        <v>127</v>
      </c>
      <c r="I181" s="284">
        <f t="shared" si="21"/>
        <v>37984.37</v>
      </c>
      <c r="J181" s="213">
        <f t="shared" si="21"/>
        <v>26805</v>
      </c>
      <c r="K181" s="213">
        <f t="shared" si="21"/>
        <v>26805</v>
      </c>
      <c r="O181" s="194"/>
    </row>
    <row r="182" spans="1:15" ht="27">
      <c r="A182" s="155" t="s">
        <v>267</v>
      </c>
      <c r="B182" s="151">
        <v>250</v>
      </c>
      <c r="C182" s="149" t="s">
        <v>74</v>
      </c>
      <c r="D182" s="149" t="s">
        <v>43</v>
      </c>
      <c r="E182" s="149" t="s">
        <v>138</v>
      </c>
      <c r="F182" s="149" t="str">
        <f t="shared" si="20"/>
        <v>91 4 06 S2370</v>
      </c>
      <c r="G182" s="156" t="s">
        <v>268</v>
      </c>
      <c r="H182" s="173" t="s">
        <v>127</v>
      </c>
      <c r="I182" s="284">
        <f>I183</f>
        <v>37984.37</v>
      </c>
      <c r="J182" s="213">
        <f>J183</f>
        <v>26805</v>
      </c>
      <c r="K182" s="213">
        <f>K183</f>
        <v>26805</v>
      </c>
      <c r="O182" s="194"/>
    </row>
    <row r="183" spans="1:11" ht="43.5" customHeight="1">
      <c r="A183" s="155" t="s">
        <v>163</v>
      </c>
      <c r="B183" s="151">
        <v>250</v>
      </c>
      <c r="C183" s="149" t="s">
        <v>74</v>
      </c>
      <c r="D183" s="149" t="s">
        <v>43</v>
      </c>
      <c r="E183" s="149" t="s">
        <v>138</v>
      </c>
      <c r="F183" s="149" t="str">
        <f t="shared" si="20"/>
        <v>91 4 06 S2370</v>
      </c>
      <c r="G183" s="156" t="s">
        <v>183</v>
      </c>
      <c r="H183" s="173" t="s">
        <v>127</v>
      </c>
      <c r="I183" s="284">
        <f>I184+I185</f>
        <v>37984.37</v>
      </c>
      <c r="J183" s="213">
        <f>J184+J185</f>
        <v>26805</v>
      </c>
      <c r="K183" s="213">
        <f>K184+K185</f>
        <v>26805</v>
      </c>
    </row>
    <row r="184" spans="1:11" ht="13.5" hidden="1">
      <c r="A184" s="157" t="s">
        <v>164</v>
      </c>
      <c r="B184" s="151">
        <v>250</v>
      </c>
      <c r="C184" s="149" t="s">
        <v>74</v>
      </c>
      <c r="D184" s="149" t="s">
        <v>43</v>
      </c>
      <c r="E184" s="149" t="s">
        <v>138</v>
      </c>
      <c r="F184" s="149" t="str">
        <f t="shared" si="20"/>
        <v>91 4 06 S2370</v>
      </c>
      <c r="G184" s="156" t="s">
        <v>160</v>
      </c>
      <c r="H184" s="173" t="s">
        <v>127</v>
      </c>
      <c r="I184" s="284">
        <f>18557+11103-3000</f>
        <v>26660</v>
      </c>
      <c r="J184" s="213">
        <f>18448-922</f>
        <v>17526</v>
      </c>
      <c r="K184" s="213">
        <f>18448-922</f>
        <v>17526</v>
      </c>
    </row>
    <row r="185" spans="1:11" ht="24.75" customHeight="1" hidden="1">
      <c r="A185" s="157" t="s">
        <v>137</v>
      </c>
      <c r="B185" s="151">
        <v>250</v>
      </c>
      <c r="C185" s="149" t="s">
        <v>74</v>
      </c>
      <c r="D185" s="149" t="s">
        <v>43</v>
      </c>
      <c r="E185" s="149" t="s">
        <v>138</v>
      </c>
      <c r="F185" s="149" t="str">
        <f t="shared" si="20"/>
        <v>91 4 06 S2370</v>
      </c>
      <c r="G185" s="156" t="s">
        <v>162</v>
      </c>
      <c r="H185" s="156" t="s">
        <v>130</v>
      </c>
      <c r="I185" s="284">
        <f>9170+11103+67-9015.63</f>
        <v>11324.37</v>
      </c>
      <c r="J185" s="210">
        <v>9279</v>
      </c>
      <c r="K185" s="210">
        <v>9279</v>
      </c>
    </row>
    <row r="186" spans="1:11" ht="69" customHeight="1">
      <c r="A186" s="148" t="s">
        <v>384</v>
      </c>
      <c r="B186" s="151">
        <v>250</v>
      </c>
      <c r="C186" s="151" t="s">
        <v>74</v>
      </c>
      <c r="D186" s="151" t="s">
        <v>43</v>
      </c>
      <c r="E186" s="154"/>
      <c r="F186" s="154" t="s">
        <v>360</v>
      </c>
      <c r="G186" s="158" t="s">
        <v>127</v>
      </c>
      <c r="H186" s="158"/>
      <c r="I186" s="283">
        <f aca="true" t="shared" si="22" ref="I186:K189">I187</f>
        <v>200000</v>
      </c>
      <c r="J186" s="153">
        <f t="shared" si="22"/>
        <v>25000</v>
      </c>
      <c r="K186" s="153">
        <f t="shared" si="22"/>
        <v>103161</v>
      </c>
    </row>
    <row r="187" spans="1:11" ht="49.5" customHeight="1">
      <c r="A187" s="155" t="s">
        <v>161</v>
      </c>
      <c r="B187" s="151">
        <v>250</v>
      </c>
      <c r="C187" s="149" t="s">
        <v>74</v>
      </c>
      <c r="D187" s="149" t="s">
        <v>43</v>
      </c>
      <c r="E187" s="174"/>
      <c r="F187" s="174" t="s">
        <v>360</v>
      </c>
      <c r="G187" s="156" t="s">
        <v>127</v>
      </c>
      <c r="H187" s="156"/>
      <c r="I187" s="284">
        <f t="shared" si="22"/>
        <v>200000</v>
      </c>
      <c r="J187" s="210">
        <f t="shared" si="22"/>
        <v>25000</v>
      </c>
      <c r="K187" s="210">
        <f t="shared" si="22"/>
        <v>103161</v>
      </c>
    </row>
    <row r="188" spans="1:11" ht="27.75" customHeight="1">
      <c r="A188" s="155" t="s">
        <v>267</v>
      </c>
      <c r="B188" s="151">
        <v>250</v>
      </c>
      <c r="C188" s="149" t="s">
        <v>74</v>
      </c>
      <c r="D188" s="149" t="s">
        <v>43</v>
      </c>
      <c r="E188" s="174"/>
      <c r="F188" s="174" t="s">
        <v>360</v>
      </c>
      <c r="G188" s="156" t="s">
        <v>268</v>
      </c>
      <c r="H188" s="156"/>
      <c r="I188" s="284">
        <f t="shared" si="22"/>
        <v>200000</v>
      </c>
      <c r="J188" s="210">
        <f t="shared" si="22"/>
        <v>25000</v>
      </c>
      <c r="K188" s="210">
        <f t="shared" si="22"/>
        <v>103161</v>
      </c>
    </row>
    <row r="189" spans="1:11" ht="29.25" customHeight="1">
      <c r="A189" s="155" t="s">
        <v>163</v>
      </c>
      <c r="B189" s="151">
        <v>250</v>
      </c>
      <c r="C189" s="149" t="s">
        <v>74</v>
      </c>
      <c r="D189" s="149" t="s">
        <v>43</v>
      </c>
      <c r="E189" s="174"/>
      <c r="F189" s="174" t="s">
        <v>360</v>
      </c>
      <c r="G189" s="156" t="s">
        <v>183</v>
      </c>
      <c r="H189" s="156"/>
      <c r="I189" s="284">
        <f t="shared" si="22"/>
        <v>200000</v>
      </c>
      <c r="J189" s="210">
        <f t="shared" si="22"/>
        <v>25000</v>
      </c>
      <c r="K189" s="210">
        <f t="shared" si="22"/>
        <v>103161</v>
      </c>
    </row>
    <row r="190" spans="1:11" ht="24" customHeight="1" hidden="1">
      <c r="A190" s="157" t="s">
        <v>164</v>
      </c>
      <c r="B190" s="151">
        <v>250</v>
      </c>
      <c r="C190" s="149" t="s">
        <v>74</v>
      </c>
      <c r="D190" s="149" t="s">
        <v>43</v>
      </c>
      <c r="E190" s="174"/>
      <c r="F190" s="174" t="s">
        <v>360</v>
      </c>
      <c r="G190" s="156" t="s">
        <v>160</v>
      </c>
      <c r="H190" s="156"/>
      <c r="I190" s="284">
        <f>200000+5452.93-5452.93</f>
        <v>200000</v>
      </c>
      <c r="J190" s="210">
        <v>25000</v>
      </c>
      <c r="K190" s="210">
        <f>18000+85161</f>
        <v>103161</v>
      </c>
    </row>
    <row r="191" spans="1:11" ht="13.5" hidden="1">
      <c r="A191" s="259" t="s">
        <v>148</v>
      </c>
      <c r="B191" s="269" t="s">
        <v>109</v>
      </c>
      <c r="C191" s="270">
        <v>11</v>
      </c>
      <c r="D191" s="271" t="s">
        <v>125</v>
      </c>
      <c r="E191" s="269" t="s">
        <v>3</v>
      </c>
      <c r="F191" s="269" t="s">
        <v>294</v>
      </c>
      <c r="G191" s="270" t="s">
        <v>122</v>
      </c>
      <c r="H191" s="272" t="s">
        <v>127</v>
      </c>
      <c r="I191" s="273">
        <f aca="true" t="shared" si="23" ref="I191:K192">I192</f>
        <v>0</v>
      </c>
      <c r="J191" s="273">
        <f t="shared" si="23"/>
        <v>0</v>
      </c>
      <c r="K191" s="273">
        <f t="shared" si="23"/>
        <v>0</v>
      </c>
    </row>
    <row r="192" spans="1:11" ht="13.5" hidden="1">
      <c r="A192" s="175" t="s">
        <v>273</v>
      </c>
      <c r="B192" s="274" t="s">
        <v>109</v>
      </c>
      <c r="C192" s="275">
        <v>11</v>
      </c>
      <c r="D192" s="276" t="s">
        <v>149</v>
      </c>
      <c r="E192" s="275" t="s">
        <v>3</v>
      </c>
      <c r="F192" s="275" t="s">
        <v>295</v>
      </c>
      <c r="G192" s="275" t="s">
        <v>122</v>
      </c>
      <c r="H192" s="272" t="s">
        <v>127</v>
      </c>
      <c r="I192" s="277">
        <f t="shared" si="23"/>
        <v>0</v>
      </c>
      <c r="J192" s="277">
        <f t="shared" si="23"/>
        <v>0</v>
      </c>
      <c r="K192" s="277">
        <f t="shared" si="23"/>
        <v>0</v>
      </c>
    </row>
    <row r="193" spans="1:11" ht="13.5" hidden="1">
      <c r="A193" s="157" t="s">
        <v>238</v>
      </c>
      <c r="B193" s="274" t="s">
        <v>109</v>
      </c>
      <c r="C193" s="275">
        <v>11</v>
      </c>
      <c r="D193" s="276" t="s">
        <v>149</v>
      </c>
      <c r="E193" s="275" t="s">
        <v>189</v>
      </c>
      <c r="F193" s="275" t="s">
        <v>296</v>
      </c>
      <c r="G193" s="275" t="s">
        <v>122</v>
      </c>
      <c r="H193" s="272" t="s">
        <v>127</v>
      </c>
      <c r="I193" s="278">
        <f>I196</f>
        <v>0</v>
      </c>
      <c r="J193" s="278">
        <f>J196</f>
        <v>0</v>
      </c>
      <c r="K193" s="278">
        <f>K196</f>
        <v>0</v>
      </c>
    </row>
    <row r="194" spans="1:11" ht="34.5" customHeight="1" hidden="1">
      <c r="A194" s="279" t="s">
        <v>167</v>
      </c>
      <c r="B194" s="274" t="s">
        <v>109</v>
      </c>
      <c r="C194" s="275">
        <v>11</v>
      </c>
      <c r="D194" s="276" t="s">
        <v>149</v>
      </c>
      <c r="E194" s="275" t="s">
        <v>189</v>
      </c>
      <c r="F194" s="275" t="s">
        <v>296</v>
      </c>
      <c r="G194" s="275">
        <v>200</v>
      </c>
      <c r="H194" s="272" t="s">
        <v>127</v>
      </c>
      <c r="I194" s="278">
        <f>SUM(I196)</f>
        <v>0</v>
      </c>
      <c r="J194" s="278">
        <f>SUM(J196)</f>
        <v>0</v>
      </c>
      <c r="K194" s="278">
        <f>SUM(K196)</f>
        <v>0</v>
      </c>
    </row>
    <row r="195" spans="1:11" ht="27" customHeight="1" hidden="1">
      <c r="A195" s="279" t="s">
        <v>267</v>
      </c>
      <c r="B195" s="274" t="s">
        <v>109</v>
      </c>
      <c r="C195" s="275">
        <v>11</v>
      </c>
      <c r="D195" s="276" t="s">
        <v>149</v>
      </c>
      <c r="E195" s="275" t="s">
        <v>189</v>
      </c>
      <c r="F195" s="275" t="s">
        <v>296</v>
      </c>
      <c r="G195" s="275">
        <v>240</v>
      </c>
      <c r="H195" s="272"/>
      <c r="I195" s="278">
        <f aca="true" t="shared" si="24" ref="I195:K196">I196</f>
        <v>0</v>
      </c>
      <c r="J195" s="278">
        <f t="shared" si="24"/>
        <v>0</v>
      </c>
      <c r="K195" s="278">
        <f t="shared" si="24"/>
        <v>0</v>
      </c>
    </row>
    <row r="196" spans="1:11" ht="28.5" customHeight="1" hidden="1">
      <c r="A196" s="279" t="s">
        <v>163</v>
      </c>
      <c r="B196" s="274" t="s">
        <v>109</v>
      </c>
      <c r="C196" s="275">
        <v>11</v>
      </c>
      <c r="D196" s="276" t="s">
        <v>149</v>
      </c>
      <c r="E196" s="275" t="s">
        <v>189</v>
      </c>
      <c r="F196" s="275" t="s">
        <v>296</v>
      </c>
      <c r="G196" s="274">
        <v>244</v>
      </c>
      <c r="H196" s="272" t="s">
        <v>127</v>
      </c>
      <c r="I196" s="278">
        <f t="shared" si="24"/>
        <v>0</v>
      </c>
      <c r="J196" s="278">
        <f t="shared" si="24"/>
        <v>0</v>
      </c>
      <c r="K196" s="278">
        <f t="shared" si="24"/>
        <v>0</v>
      </c>
    </row>
    <row r="197" spans="1:11" ht="15" customHeight="1" hidden="1">
      <c r="A197" s="175" t="s">
        <v>19</v>
      </c>
      <c r="B197" s="274" t="s">
        <v>109</v>
      </c>
      <c r="C197" s="275">
        <v>11</v>
      </c>
      <c r="D197" s="276" t="s">
        <v>149</v>
      </c>
      <c r="E197" s="275" t="s">
        <v>189</v>
      </c>
      <c r="F197" s="275"/>
      <c r="G197" s="274">
        <v>244</v>
      </c>
      <c r="H197" s="274">
        <v>340</v>
      </c>
      <c r="I197" s="278">
        <v>0</v>
      </c>
      <c r="J197" s="210"/>
      <c r="K197" s="210"/>
    </row>
    <row r="198" spans="1:11" ht="41.25" customHeight="1">
      <c r="A198" s="148" t="s">
        <v>430</v>
      </c>
      <c r="B198" s="151">
        <f>B199</f>
        <v>250</v>
      </c>
      <c r="C198" s="154" t="str">
        <f>C199</f>
        <v>О5</v>
      </c>
      <c r="D198" s="158" t="s">
        <v>43</v>
      </c>
      <c r="E198" s="154"/>
      <c r="F198" s="154" t="str">
        <f aca="true" t="shared" si="25" ref="F198:F204">F199</f>
        <v>91 4 F2 55551</v>
      </c>
      <c r="G198" s="151" t="s">
        <v>4</v>
      </c>
      <c r="H198" s="151"/>
      <c r="I198" s="268">
        <f aca="true" t="shared" si="26" ref="I198:K200">I199</f>
        <v>920116.9</v>
      </c>
      <c r="J198" s="268">
        <f>J199</f>
        <v>0</v>
      </c>
      <c r="K198" s="268">
        <f t="shared" si="26"/>
        <v>0</v>
      </c>
    </row>
    <row r="199" spans="1:11" ht="44.25" customHeight="1">
      <c r="A199" s="155" t="s">
        <v>161</v>
      </c>
      <c r="B199" s="149">
        <v>250</v>
      </c>
      <c r="C199" s="174" t="str">
        <f aca="true" t="shared" si="27" ref="C199:C204">C200</f>
        <v>О5</v>
      </c>
      <c r="D199" s="156" t="s">
        <v>43</v>
      </c>
      <c r="E199" s="174"/>
      <c r="F199" s="174" t="str">
        <f t="shared" si="25"/>
        <v>91 4 F2 55551</v>
      </c>
      <c r="G199" s="149">
        <v>200</v>
      </c>
      <c r="H199" s="149"/>
      <c r="I199" s="280">
        <f t="shared" si="26"/>
        <v>920116.9</v>
      </c>
      <c r="J199" s="280">
        <f t="shared" si="26"/>
        <v>0</v>
      </c>
      <c r="K199" s="280">
        <f t="shared" si="26"/>
        <v>0</v>
      </c>
    </row>
    <row r="200" spans="1:11" ht="27" customHeight="1">
      <c r="A200" s="155" t="s">
        <v>267</v>
      </c>
      <c r="B200" s="149">
        <f>B201</f>
        <v>250</v>
      </c>
      <c r="C200" s="174" t="str">
        <f t="shared" si="27"/>
        <v>О5</v>
      </c>
      <c r="D200" s="156" t="s">
        <v>43</v>
      </c>
      <c r="E200" s="174"/>
      <c r="F200" s="174" t="str">
        <f t="shared" si="25"/>
        <v>91 4 F2 55551</v>
      </c>
      <c r="G200" s="149">
        <v>240</v>
      </c>
      <c r="H200" s="149"/>
      <c r="I200" s="280">
        <f t="shared" si="26"/>
        <v>920116.9</v>
      </c>
      <c r="J200" s="280">
        <f t="shared" si="26"/>
        <v>0</v>
      </c>
      <c r="K200" s="280">
        <f t="shared" si="26"/>
        <v>0</v>
      </c>
    </row>
    <row r="201" spans="1:11" ht="28.5" customHeight="1">
      <c r="A201" s="155" t="s">
        <v>163</v>
      </c>
      <c r="B201" s="149">
        <f>B202</f>
        <v>250</v>
      </c>
      <c r="C201" s="174" t="str">
        <f t="shared" si="27"/>
        <v>О5</v>
      </c>
      <c r="D201" s="156" t="s">
        <v>43</v>
      </c>
      <c r="E201" s="174"/>
      <c r="F201" s="174" t="str">
        <f t="shared" si="25"/>
        <v>91 4 F2 55551</v>
      </c>
      <c r="G201" s="149">
        <v>244</v>
      </c>
      <c r="H201" s="149"/>
      <c r="I201" s="280">
        <f>I202+I203+I204+I205</f>
        <v>920116.9</v>
      </c>
      <c r="J201" s="280">
        <f>J202+J203+J204+J205</f>
        <v>0</v>
      </c>
      <c r="K201" s="280">
        <f>K202+K203+K204+K205</f>
        <v>0</v>
      </c>
    </row>
    <row r="202" spans="1:11" ht="16.5" customHeight="1" hidden="1">
      <c r="A202" s="157" t="s">
        <v>17</v>
      </c>
      <c r="B202" s="274">
        <f>B203</f>
        <v>250</v>
      </c>
      <c r="C202" s="275" t="str">
        <f t="shared" si="27"/>
        <v>О5</v>
      </c>
      <c r="D202" s="276" t="s">
        <v>43</v>
      </c>
      <c r="E202" s="275"/>
      <c r="F202" s="275" t="str">
        <f t="shared" si="25"/>
        <v>91 4 F2 55551</v>
      </c>
      <c r="G202" s="274">
        <v>225</v>
      </c>
      <c r="H202" s="149"/>
      <c r="I202" s="280">
        <f>150000</f>
        <v>150000</v>
      </c>
      <c r="J202" s="280">
        <v>0</v>
      </c>
      <c r="K202" s="280">
        <v>0</v>
      </c>
    </row>
    <row r="203" spans="1:11" ht="19.5" customHeight="1" hidden="1">
      <c r="A203" s="157" t="s">
        <v>159</v>
      </c>
      <c r="B203" s="274">
        <f>B204</f>
        <v>250</v>
      </c>
      <c r="C203" s="275" t="str">
        <f t="shared" si="27"/>
        <v>О5</v>
      </c>
      <c r="D203" s="276" t="s">
        <v>43</v>
      </c>
      <c r="E203" s="275"/>
      <c r="F203" s="275" t="str">
        <f t="shared" si="25"/>
        <v>91 4 F2 55551</v>
      </c>
      <c r="G203" s="274">
        <v>226</v>
      </c>
      <c r="H203" s="149"/>
      <c r="I203" s="280">
        <f>320116.9</f>
        <v>320116.9</v>
      </c>
      <c r="J203" s="280">
        <v>0</v>
      </c>
      <c r="K203" s="280">
        <v>0</v>
      </c>
    </row>
    <row r="204" spans="1:11" ht="26.25" customHeight="1" hidden="1">
      <c r="A204" s="157" t="s">
        <v>21</v>
      </c>
      <c r="B204" s="274">
        <f>B205</f>
        <v>250</v>
      </c>
      <c r="C204" s="275" t="str">
        <f t="shared" si="27"/>
        <v>О5</v>
      </c>
      <c r="D204" s="276" t="s">
        <v>43</v>
      </c>
      <c r="E204" s="275"/>
      <c r="F204" s="275" t="str">
        <f t="shared" si="25"/>
        <v>91 4 F2 55551</v>
      </c>
      <c r="G204" s="274">
        <v>310</v>
      </c>
      <c r="H204" s="149"/>
      <c r="I204" s="280">
        <f>250000</f>
        <v>250000</v>
      </c>
      <c r="J204" s="280">
        <v>0</v>
      </c>
      <c r="K204" s="280">
        <v>0</v>
      </c>
    </row>
    <row r="205" spans="1:11" ht="26.25" customHeight="1" hidden="1">
      <c r="A205" s="157" t="s">
        <v>22</v>
      </c>
      <c r="B205" s="274">
        <v>250</v>
      </c>
      <c r="C205" s="275" t="s">
        <v>74</v>
      </c>
      <c r="D205" s="276" t="s">
        <v>43</v>
      </c>
      <c r="E205" s="275"/>
      <c r="F205" s="275" t="s">
        <v>429</v>
      </c>
      <c r="G205" s="274">
        <v>340</v>
      </c>
      <c r="H205" s="149"/>
      <c r="I205" s="280">
        <f>200000</f>
        <v>200000</v>
      </c>
      <c r="J205" s="280">
        <v>0</v>
      </c>
      <c r="K205" s="280">
        <v>0</v>
      </c>
    </row>
    <row r="206" spans="1:11" ht="56.25" customHeight="1">
      <c r="A206" s="148" t="s">
        <v>431</v>
      </c>
      <c r="B206" s="151">
        <f aca="true" t="shared" si="28" ref="B206:C210">B207</f>
        <v>250</v>
      </c>
      <c r="C206" s="154" t="str">
        <f t="shared" si="28"/>
        <v>О5</v>
      </c>
      <c r="D206" s="158" t="s">
        <v>43</v>
      </c>
      <c r="E206" s="154"/>
      <c r="F206" s="154" t="str">
        <f aca="true" t="shared" si="29" ref="F206:F212">F207</f>
        <v>91 4 F2 55551</v>
      </c>
      <c r="G206" s="151" t="s">
        <v>4</v>
      </c>
      <c r="H206" s="151"/>
      <c r="I206" s="268">
        <f aca="true" t="shared" si="30" ref="I206:K208">I207</f>
        <v>5452.93</v>
      </c>
      <c r="J206" s="268">
        <f t="shared" si="30"/>
        <v>0</v>
      </c>
      <c r="K206" s="268">
        <f t="shared" si="30"/>
        <v>0</v>
      </c>
    </row>
    <row r="207" spans="1:11" ht="44.25" customHeight="1">
      <c r="A207" s="155" t="s">
        <v>161</v>
      </c>
      <c r="B207" s="149">
        <f t="shared" si="28"/>
        <v>250</v>
      </c>
      <c r="C207" s="174" t="str">
        <f t="shared" si="28"/>
        <v>О5</v>
      </c>
      <c r="D207" s="156" t="s">
        <v>43</v>
      </c>
      <c r="E207" s="174"/>
      <c r="F207" s="174" t="str">
        <f t="shared" si="29"/>
        <v>91 4 F2 55551</v>
      </c>
      <c r="G207" s="149">
        <v>200</v>
      </c>
      <c r="H207" s="149"/>
      <c r="I207" s="280">
        <f t="shared" si="30"/>
        <v>5452.93</v>
      </c>
      <c r="J207" s="280">
        <f t="shared" si="30"/>
        <v>0</v>
      </c>
      <c r="K207" s="280">
        <f t="shared" si="30"/>
        <v>0</v>
      </c>
    </row>
    <row r="208" spans="1:11" ht="26.25" customHeight="1">
      <c r="A208" s="155" t="s">
        <v>267</v>
      </c>
      <c r="B208" s="149">
        <f t="shared" si="28"/>
        <v>250</v>
      </c>
      <c r="C208" s="174" t="str">
        <f t="shared" si="28"/>
        <v>О5</v>
      </c>
      <c r="D208" s="156" t="s">
        <v>43</v>
      </c>
      <c r="E208" s="174"/>
      <c r="F208" s="174" t="str">
        <f t="shared" si="29"/>
        <v>91 4 F2 55551</v>
      </c>
      <c r="G208" s="149">
        <v>240</v>
      </c>
      <c r="H208" s="149"/>
      <c r="I208" s="280">
        <f t="shared" si="30"/>
        <v>5452.93</v>
      </c>
      <c r="J208" s="280">
        <f t="shared" si="30"/>
        <v>0</v>
      </c>
      <c r="K208" s="280">
        <f t="shared" si="30"/>
        <v>0</v>
      </c>
    </row>
    <row r="209" spans="1:11" ht="26.25" customHeight="1">
      <c r="A209" s="155" t="s">
        <v>163</v>
      </c>
      <c r="B209" s="149">
        <f t="shared" si="28"/>
        <v>250</v>
      </c>
      <c r="C209" s="174" t="str">
        <f t="shared" si="28"/>
        <v>О5</v>
      </c>
      <c r="D209" s="156" t="s">
        <v>43</v>
      </c>
      <c r="E209" s="174"/>
      <c r="F209" s="174" t="str">
        <f t="shared" si="29"/>
        <v>91 4 F2 55551</v>
      </c>
      <c r="G209" s="149">
        <v>244</v>
      </c>
      <c r="H209" s="149"/>
      <c r="I209" s="280">
        <f>I210+I211+I212+I213</f>
        <v>5452.93</v>
      </c>
      <c r="J209" s="280">
        <f>J210+J211+J212+J213</f>
        <v>0</v>
      </c>
      <c r="K209" s="280">
        <f>K210+K211+K212+K213</f>
        <v>0</v>
      </c>
    </row>
    <row r="210" spans="1:11" ht="18.75" customHeight="1" hidden="1">
      <c r="A210" s="157" t="s">
        <v>17</v>
      </c>
      <c r="B210" s="274">
        <f t="shared" si="28"/>
        <v>250</v>
      </c>
      <c r="C210" s="275" t="str">
        <f t="shared" si="28"/>
        <v>О5</v>
      </c>
      <c r="D210" s="276" t="s">
        <v>43</v>
      </c>
      <c r="E210" s="275"/>
      <c r="F210" s="275" t="str">
        <f t="shared" si="29"/>
        <v>91 4 F2 55551</v>
      </c>
      <c r="G210" s="274">
        <v>225</v>
      </c>
      <c r="H210" s="149"/>
      <c r="I210" s="280">
        <f>900</f>
        <v>900</v>
      </c>
      <c r="J210" s="210">
        <v>0</v>
      </c>
      <c r="K210" s="210">
        <v>0</v>
      </c>
    </row>
    <row r="211" spans="1:11" ht="18" customHeight="1" hidden="1">
      <c r="A211" s="157" t="s">
        <v>159</v>
      </c>
      <c r="B211" s="274">
        <v>250</v>
      </c>
      <c r="C211" s="275" t="str">
        <f>C212</f>
        <v>О5</v>
      </c>
      <c r="D211" s="276" t="s">
        <v>43</v>
      </c>
      <c r="E211" s="275"/>
      <c r="F211" s="275" t="str">
        <f t="shared" si="29"/>
        <v>91 4 F2 55551</v>
      </c>
      <c r="G211" s="274">
        <v>226</v>
      </c>
      <c r="H211" s="149"/>
      <c r="I211" s="280">
        <f>2452.93</f>
        <v>2452.93</v>
      </c>
      <c r="J211" s="210">
        <v>0</v>
      </c>
      <c r="K211" s="210">
        <v>0</v>
      </c>
    </row>
    <row r="212" spans="1:11" ht="26.25" customHeight="1" hidden="1">
      <c r="A212" s="157" t="s">
        <v>21</v>
      </c>
      <c r="B212" s="274">
        <f>B213</f>
        <v>250</v>
      </c>
      <c r="C212" s="275" t="str">
        <f>C213</f>
        <v>О5</v>
      </c>
      <c r="D212" s="276" t="s">
        <v>43</v>
      </c>
      <c r="E212" s="275"/>
      <c r="F212" s="275" t="str">
        <f t="shared" si="29"/>
        <v>91 4 F2 55551</v>
      </c>
      <c r="G212" s="274">
        <v>310</v>
      </c>
      <c r="H212" s="149"/>
      <c r="I212" s="280">
        <f>1100</f>
        <v>1100</v>
      </c>
      <c r="J212" s="210">
        <v>0</v>
      </c>
      <c r="K212" s="210">
        <v>0</v>
      </c>
    </row>
    <row r="213" spans="1:11" ht="26.25" customHeight="1" hidden="1">
      <c r="A213" s="157" t="s">
        <v>22</v>
      </c>
      <c r="B213" s="274">
        <v>250</v>
      </c>
      <c r="C213" s="275" t="s">
        <v>74</v>
      </c>
      <c r="D213" s="276" t="s">
        <v>43</v>
      </c>
      <c r="E213" s="275"/>
      <c r="F213" s="275" t="s">
        <v>429</v>
      </c>
      <c r="G213" s="274">
        <v>340</v>
      </c>
      <c r="H213" s="149"/>
      <c r="I213" s="280">
        <f>1000</f>
        <v>1000</v>
      </c>
      <c r="J213" s="210">
        <v>0</v>
      </c>
      <c r="K213" s="210">
        <v>0</v>
      </c>
    </row>
    <row r="214" spans="1:11" ht="53.25" customHeight="1">
      <c r="A214" s="286" t="s">
        <v>442</v>
      </c>
      <c r="B214" s="151">
        <v>250</v>
      </c>
      <c r="C214" s="154" t="str">
        <f aca="true" t="shared" si="31" ref="C214:C231">C213</f>
        <v>О5</v>
      </c>
      <c r="D214" s="158" t="s">
        <v>180</v>
      </c>
      <c r="E214" s="154"/>
      <c r="F214" s="154" t="s">
        <v>447</v>
      </c>
      <c r="G214" s="151" t="s">
        <v>4</v>
      </c>
      <c r="H214" s="151"/>
      <c r="I214" s="268">
        <f aca="true" t="shared" si="32" ref="I214:K216">I215</f>
        <v>1950000</v>
      </c>
      <c r="J214" s="268">
        <f t="shared" si="32"/>
        <v>0</v>
      </c>
      <c r="K214" s="268">
        <f t="shared" si="32"/>
        <v>0</v>
      </c>
    </row>
    <row r="215" spans="1:11" ht="40.5" customHeight="1">
      <c r="A215" s="155" t="s">
        <v>161</v>
      </c>
      <c r="B215" s="149">
        <v>250</v>
      </c>
      <c r="C215" s="174" t="str">
        <f t="shared" si="31"/>
        <v>О5</v>
      </c>
      <c r="D215" s="156" t="s">
        <v>180</v>
      </c>
      <c r="E215" s="174"/>
      <c r="F215" s="174" t="s">
        <v>447</v>
      </c>
      <c r="G215" s="149">
        <v>200</v>
      </c>
      <c r="H215" s="149"/>
      <c r="I215" s="280">
        <f t="shared" si="32"/>
        <v>1950000</v>
      </c>
      <c r="J215" s="280">
        <f t="shared" si="32"/>
        <v>0</v>
      </c>
      <c r="K215" s="280">
        <f t="shared" si="32"/>
        <v>0</v>
      </c>
    </row>
    <row r="216" spans="1:11" ht="26.25" customHeight="1">
      <c r="A216" s="155" t="s">
        <v>267</v>
      </c>
      <c r="B216" s="149">
        <v>250</v>
      </c>
      <c r="C216" s="174" t="str">
        <f t="shared" si="31"/>
        <v>О5</v>
      </c>
      <c r="D216" s="156" t="s">
        <v>180</v>
      </c>
      <c r="E216" s="174"/>
      <c r="F216" s="174" t="s">
        <v>447</v>
      </c>
      <c r="G216" s="149">
        <v>240</v>
      </c>
      <c r="H216" s="149"/>
      <c r="I216" s="280">
        <f t="shared" si="32"/>
        <v>1950000</v>
      </c>
      <c r="J216" s="280">
        <f t="shared" si="32"/>
        <v>0</v>
      </c>
      <c r="K216" s="280">
        <f t="shared" si="32"/>
        <v>0</v>
      </c>
    </row>
    <row r="217" spans="1:11" ht="30.75" customHeight="1">
      <c r="A217" s="155" t="s">
        <v>163</v>
      </c>
      <c r="B217" s="149">
        <v>250</v>
      </c>
      <c r="C217" s="174" t="str">
        <f t="shared" si="31"/>
        <v>О5</v>
      </c>
      <c r="D217" s="156" t="s">
        <v>180</v>
      </c>
      <c r="E217" s="174"/>
      <c r="F217" s="174" t="s">
        <v>447</v>
      </c>
      <c r="G217" s="149">
        <v>244</v>
      </c>
      <c r="H217" s="149"/>
      <c r="I217" s="280">
        <f>I218+I219+I220+I221+I222</f>
        <v>1950000</v>
      </c>
      <c r="J217" s="280">
        <f>J218+J219+J220+J221+J222</f>
        <v>0</v>
      </c>
      <c r="K217" s="280">
        <f>K218+K220+K221+K222</f>
        <v>0</v>
      </c>
    </row>
    <row r="218" spans="1:11" ht="26.25" customHeight="1" hidden="1">
      <c r="A218" s="157" t="s">
        <v>432</v>
      </c>
      <c r="B218" s="274">
        <v>250</v>
      </c>
      <c r="C218" s="275" t="str">
        <f t="shared" si="31"/>
        <v>О5</v>
      </c>
      <c r="D218" s="276" t="s">
        <v>180</v>
      </c>
      <c r="E218" s="275"/>
      <c r="F218" s="275" t="s">
        <v>441</v>
      </c>
      <c r="G218" s="274">
        <v>222</v>
      </c>
      <c r="H218" s="149"/>
      <c r="I218" s="285">
        <v>150000</v>
      </c>
      <c r="J218" s="285">
        <v>0</v>
      </c>
      <c r="K218" s="285">
        <v>0</v>
      </c>
    </row>
    <row r="219" spans="1:11" ht="26.25" customHeight="1" hidden="1">
      <c r="A219" s="157" t="s">
        <v>17</v>
      </c>
      <c r="B219" s="274">
        <v>250</v>
      </c>
      <c r="C219" s="275" t="str">
        <f t="shared" si="31"/>
        <v>О5</v>
      </c>
      <c r="D219" s="276" t="s">
        <v>180</v>
      </c>
      <c r="E219" s="275"/>
      <c r="F219" s="275" t="s">
        <v>441</v>
      </c>
      <c r="G219" s="274">
        <v>225</v>
      </c>
      <c r="H219" s="149"/>
      <c r="I219" s="285">
        <v>390000</v>
      </c>
      <c r="J219" s="285">
        <v>0</v>
      </c>
      <c r="K219" s="285">
        <v>0</v>
      </c>
    </row>
    <row r="220" spans="1:11" ht="26.25" customHeight="1" hidden="1">
      <c r="A220" s="157" t="s">
        <v>159</v>
      </c>
      <c r="B220" s="274">
        <v>250</v>
      </c>
      <c r="C220" s="275" t="str">
        <f t="shared" si="31"/>
        <v>О5</v>
      </c>
      <c r="D220" s="276" t="s">
        <v>180</v>
      </c>
      <c r="E220" s="275"/>
      <c r="F220" s="275" t="s">
        <v>441</v>
      </c>
      <c r="G220" s="274">
        <v>226</v>
      </c>
      <c r="H220" s="149"/>
      <c r="I220" s="285">
        <f>630000</f>
        <v>630000</v>
      </c>
      <c r="J220" s="285">
        <v>0</v>
      </c>
      <c r="K220" s="285">
        <v>0</v>
      </c>
    </row>
    <row r="221" spans="1:11" ht="26.25" customHeight="1" hidden="1">
      <c r="A221" s="157" t="s">
        <v>21</v>
      </c>
      <c r="B221" s="274">
        <v>250</v>
      </c>
      <c r="C221" s="275" t="str">
        <f t="shared" si="31"/>
        <v>О5</v>
      </c>
      <c r="D221" s="276" t="s">
        <v>180</v>
      </c>
      <c r="E221" s="275"/>
      <c r="F221" s="275" t="s">
        <v>441</v>
      </c>
      <c r="G221" s="274">
        <v>310</v>
      </c>
      <c r="H221" s="149"/>
      <c r="I221" s="285">
        <v>390000</v>
      </c>
      <c r="J221" s="285">
        <v>0</v>
      </c>
      <c r="K221" s="285">
        <v>0</v>
      </c>
    </row>
    <row r="222" spans="1:11" ht="26.25" customHeight="1" hidden="1">
      <c r="A222" s="157" t="s">
        <v>22</v>
      </c>
      <c r="B222" s="274">
        <v>250</v>
      </c>
      <c r="C222" s="275" t="str">
        <f t="shared" si="31"/>
        <v>О5</v>
      </c>
      <c r="D222" s="276" t="s">
        <v>180</v>
      </c>
      <c r="E222" s="275"/>
      <c r="F222" s="275" t="s">
        <v>441</v>
      </c>
      <c r="G222" s="274">
        <v>340</v>
      </c>
      <c r="H222" s="149"/>
      <c r="I222" s="285">
        <v>390000</v>
      </c>
      <c r="J222" s="285">
        <v>0</v>
      </c>
      <c r="K222" s="285">
        <v>0</v>
      </c>
    </row>
    <row r="223" spans="1:11" ht="45.75" customHeight="1">
      <c r="A223" s="148" t="s">
        <v>443</v>
      </c>
      <c r="B223" s="151">
        <v>250</v>
      </c>
      <c r="C223" s="154" t="str">
        <f t="shared" si="31"/>
        <v>О5</v>
      </c>
      <c r="D223" s="158" t="s">
        <v>180</v>
      </c>
      <c r="E223" s="154"/>
      <c r="F223" s="154" t="s">
        <v>447</v>
      </c>
      <c r="G223" s="151" t="s">
        <v>4</v>
      </c>
      <c r="H223" s="149"/>
      <c r="I223" s="268">
        <f aca="true" t="shared" si="33" ref="I223:K225">I224</f>
        <v>60310</v>
      </c>
      <c r="J223" s="268">
        <f t="shared" si="33"/>
        <v>0</v>
      </c>
      <c r="K223" s="268">
        <f t="shared" si="33"/>
        <v>0</v>
      </c>
    </row>
    <row r="224" spans="1:11" ht="42.75" customHeight="1">
      <c r="A224" s="155" t="str">
        <f>A215</f>
        <v>Закупка товаров, работ,услуг в целях формирования муниципального материального резерва</v>
      </c>
      <c r="B224" s="151">
        <v>250</v>
      </c>
      <c r="C224" s="154" t="str">
        <f t="shared" si="31"/>
        <v>О5</v>
      </c>
      <c r="D224" s="158" t="s">
        <v>180</v>
      </c>
      <c r="E224" s="154"/>
      <c r="F224" s="154" t="s">
        <v>447</v>
      </c>
      <c r="G224" s="149">
        <v>200</v>
      </c>
      <c r="H224" s="149"/>
      <c r="I224" s="280">
        <f t="shared" si="33"/>
        <v>60310</v>
      </c>
      <c r="J224" s="280">
        <f t="shared" si="33"/>
        <v>0</v>
      </c>
      <c r="K224" s="280">
        <f t="shared" si="33"/>
        <v>0</v>
      </c>
    </row>
    <row r="225" spans="1:11" ht="28.5" customHeight="1">
      <c r="A225" s="155" t="str">
        <f>A216</f>
        <v>Иные закупки товаров,работ и услуг для муниципальных нужд</v>
      </c>
      <c r="B225" s="151">
        <v>250</v>
      </c>
      <c r="C225" s="154" t="str">
        <f t="shared" si="31"/>
        <v>О5</v>
      </c>
      <c r="D225" s="158" t="s">
        <v>180</v>
      </c>
      <c r="E225" s="154"/>
      <c r="F225" s="154" t="s">
        <v>447</v>
      </c>
      <c r="G225" s="149">
        <v>240</v>
      </c>
      <c r="H225" s="149"/>
      <c r="I225" s="280">
        <f t="shared" si="33"/>
        <v>60310</v>
      </c>
      <c r="J225" s="280">
        <f t="shared" si="33"/>
        <v>0</v>
      </c>
      <c r="K225" s="280">
        <f t="shared" si="33"/>
        <v>0</v>
      </c>
    </row>
    <row r="226" spans="1:11" ht="33.75" customHeight="1">
      <c r="A226" s="155" t="str">
        <f>A217</f>
        <v>Прочая закупка товаров,работ,услуг для муниципальных нужд</v>
      </c>
      <c r="B226" s="151">
        <v>250</v>
      </c>
      <c r="C226" s="154" t="str">
        <f t="shared" si="31"/>
        <v>О5</v>
      </c>
      <c r="D226" s="158" t="s">
        <v>180</v>
      </c>
      <c r="E226" s="154"/>
      <c r="F226" s="154" t="s">
        <v>447</v>
      </c>
      <c r="G226" s="149">
        <v>244</v>
      </c>
      <c r="H226" s="149"/>
      <c r="I226" s="280">
        <f>I227+I228+I229+I230+I231</f>
        <v>60310</v>
      </c>
      <c r="J226" s="280">
        <f>J227+J228+J229+J230+J231</f>
        <v>0</v>
      </c>
      <c r="K226" s="280">
        <f>K227+K229+K230+K231</f>
        <v>0</v>
      </c>
    </row>
    <row r="227" spans="1:11" ht="26.25" customHeight="1" hidden="1">
      <c r="A227" s="157" t="s">
        <v>432</v>
      </c>
      <c r="B227" s="269">
        <v>250</v>
      </c>
      <c r="C227" s="270" t="str">
        <f t="shared" si="31"/>
        <v>О5</v>
      </c>
      <c r="D227" s="271" t="s">
        <v>180</v>
      </c>
      <c r="E227" s="270"/>
      <c r="F227" s="270" t="s">
        <v>441</v>
      </c>
      <c r="G227" s="274">
        <v>222</v>
      </c>
      <c r="H227" s="149"/>
      <c r="I227" s="285">
        <v>5310</v>
      </c>
      <c r="J227" s="285">
        <v>0</v>
      </c>
      <c r="K227" s="285">
        <v>0</v>
      </c>
    </row>
    <row r="228" spans="1:11" ht="26.25" customHeight="1" hidden="1">
      <c r="A228" s="157" t="s">
        <v>17</v>
      </c>
      <c r="B228" s="269">
        <v>250</v>
      </c>
      <c r="C228" s="270" t="str">
        <f t="shared" si="31"/>
        <v>О5</v>
      </c>
      <c r="D228" s="271" t="s">
        <v>180</v>
      </c>
      <c r="E228" s="270"/>
      <c r="F228" s="270" t="s">
        <v>441</v>
      </c>
      <c r="G228" s="274">
        <v>225</v>
      </c>
      <c r="H228" s="149"/>
      <c r="I228" s="285">
        <v>12000</v>
      </c>
      <c r="J228" s="285">
        <v>0</v>
      </c>
      <c r="K228" s="285">
        <v>0</v>
      </c>
    </row>
    <row r="229" spans="1:11" ht="26.25" customHeight="1" hidden="1">
      <c r="A229" s="157" t="s">
        <v>159</v>
      </c>
      <c r="B229" s="269">
        <v>250</v>
      </c>
      <c r="C229" s="270" t="str">
        <f t="shared" si="31"/>
        <v>О5</v>
      </c>
      <c r="D229" s="271" t="s">
        <v>180</v>
      </c>
      <c r="E229" s="270"/>
      <c r="F229" s="270" t="s">
        <v>441</v>
      </c>
      <c r="G229" s="274">
        <v>226</v>
      </c>
      <c r="H229" s="149"/>
      <c r="I229" s="285">
        <v>19000</v>
      </c>
      <c r="J229" s="285">
        <v>0</v>
      </c>
      <c r="K229" s="285">
        <v>0</v>
      </c>
    </row>
    <row r="230" spans="1:11" ht="26.25" customHeight="1" hidden="1">
      <c r="A230" s="157" t="s">
        <v>21</v>
      </c>
      <c r="B230" s="269">
        <v>250</v>
      </c>
      <c r="C230" s="270" t="str">
        <f t="shared" si="31"/>
        <v>О5</v>
      </c>
      <c r="D230" s="271" t="s">
        <v>180</v>
      </c>
      <c r="E230" s="270"/>
      <c r="F230" s="270" t="s">
        <v>441</v>
      </c>
      <c r="G230" s="274">
        <v>310</v>
      </c>
      <c r="H230" s="149"/>
      <c r="I230" s="285">
        <v>12000</v>
      </c>
      <c r="J230" s="285">
        <v>0</v>
      </c>
      <c r="K230" s="285">
        <v>0</v>
      </c>
    </row>
    <row r="231" spans="1:11" ht="26.25" customHeight="1" hidden="1">
      <c r="A231" s="157" t="s">
        <v>22</v>
      </c>
      <c r="B231" s="269">
        <v>250</v>
      </c>
      <c r="C231" s="270" t="str">
        <f t="shared" si="31"/>
        <v>О5</v>
      </c>
      <c r="D231" s="271" t="s">
        <v>180</v>
      </c>
      <c r="E231" s="270"/>
      <c r="F231" s="270" t="s">
        <v>441</v>
      </c>
      <c r="G231" s="274">
        <v>340</v>
      </c>
      <c r="H231" s="149"/>
      <c r="I231" s="285">
        <v>12000</v>
      </c>
      <c r="J231" s="285">
        <v>0</v>
      </c>
      <c r="K231" s="285">
        <v>0</v>
      </c>
    </row>
    <row r="232" spans="1:11" ht="54">
      <c r="A232" s="148" t="s">
        <v>196</v>
      </c>
      <c r="B232" s="151">
        <v>250</v>
      </c>
      <c r="C232" s="154">
        <v>14</v>
      </c>
      <c r="D232" s="158" t="s">
        <v>125</v>
      </c>
      <c r="E232" s="154" t="s">
        <v>197</v>
      </c>
      <c r="F232" s="154" t="s">
        <v>294</v>
      </c>
      <c r="G232" s="158" t="s">
        <v>127</v>
      </c>
      <c r="H232" s="173" t="s">
        <v>127</v>
      </c>
      <c r="I232" s="153">
        <f aca="true" t="shared" si="34" ref="I232:K233">I233</f>
        <v>27000</v>
      </c>
      <c r="J232" s="153">
        <f t="shared" si="34"/>
        <v>0</v>
      </c>
      <c r="K232" s="153">
        <f t="shared" si="34"/>
        <v>0</v>
      </c>
    </row>
    <row r="233" spans="1:11" ht="27">
      <c r="A233" s="155" t="s">
        <v>198</v>
      </c>
      <c r="B233" s="149">
        <v>250</v>
      </c>
      <c r="C233" s="174">
        <v>14</v>
      </c>
      <c r="D233" s="156" t="s">
        <v>180</v>
      </c>
      <c r="E233" s="174" t="s">
        <v>126</v>
      </c>
      <c r="F233" s="174" t="s">
        <v>297</v>
      </c>
      <c r="G233" s="156" t="s">
        <v>127</v>
      </c>
      <c r="H233" s="173" t="s">
        <v>127</v>
      </c>
      <c r="I233" s="210">
        <f t="shared" si="34"/>
        <v>27000</v>
      </c>
      <c r="J233" s="210">
        <f t="shared" si="34"/>
        <v>0</v>
      </c>
      <c r="K233" s="210">
        <f t="shared" si="34"/>
        <v>0</v>
      </c>
    </row>
    <row r="234" spans="1:11" ht="40.5">
      <c r="A234" s="155" t="s">
        <v>199</v>
      </c>
      <c r="B234" s="149">
        <v>250</v>
      </c>
      <c r="C234" s="174">
        <v>14</v>
      </c>
      <c r="D234" s="156" t="s">
        <v>180</v>
      </c>
      <c r="E234" s="174" t="s">
        <v>200</v>
      </c>
      <c r="F234" s="174" t="s">
        <v>298</v>
      </c>
      <c r="G234" s="156" t="s">
        <v>127</v>
      </c>
      <c r="H234" s="173" t="s">
        <v>127</v>
      </c>
      <c r="I234" s="210">
        <f>I236</f>
        <v>27000</v>
      </c>
      <c r="J234" s="210">
        <f>J235</f>
        <v>0</v>
      </c>
      <c r="K234" s="210">
        <f>K236</f>
        <v>0</v>
      </c>
    </row>
    <row r="235" spans="1:11" ht="12" customHeight="1">
      <c r="A235" s="155" t="s">
        <v>239</v>
      </c>
      <c r="B235" s="149">
        <v>250</v>
      </c>
      <c r="C235" s="174">
        <v>14</v>
      </c>
      <c r="D235" s="156" t="s">
        <v>180</v>
      </c>
      <c r="E235" s="174" t="s">
        <v>200</v>
      </c>
      <c r="F235" s="174" t="s">
        <v>298</v>
      </c>
      <c r="G235" s="156" t="s">
        <v>240</v>
      </c>
      <c r="H235" s="156" t="s">
        <v>203</v>
      </c>
      <c r="I235" s="210">
        <f aca="true" t="shared" si="35" ref="I235:K236">I236</f>
        <v>27000</v>
      </c>
      <c r="J235" s="210">
        <v>0</v>
      </c>
      <c r="K235" s="210">
        <f t="shared" si="35"/>
        <v>0</v>
      </c>
    </row>
    <row r="236" spans="1:11" ht="27" hidden="1">
      <c r="A236" s="157" t="s">
        <v>201</v>
      </c>
      <c r="B236" s="149" t="s">
        <v>109</v>
      </c>
      <c r="C236" s="174">
        <v>14</v>
      </c>
      <c r="D236" s="156" t="s">
        <v>180</v>
      </c>
      <c r="E236" s="174" t="s">
        <v>200</v>
      </c>
      <c r="F236" s="174" t="s">
        <v>298</v>
      </c>
      <c r="G236" s="156" t="s">
        <v>202</v>
      </c>
      <c r="H236" s="156"/>
      <c r="I236" s="210">
        <f t="shared" si="35"/>
        <v>27000</v>
      </c>
      <c r="J236" s="210">
        <v>0</v>
      </c>
      <c r="K236" s="210">
        <f t="shared" si="35"/>
        <v>0</v>
      </c>
    </row>
    <row r="237" spans="1:11" ht="13.5">
      <c r="A237" s="176" t="s">
        <v>274</v>
      </c>
      <c r="B237" s="149">
        <v>250</v>
      </c>
      <c r="C237" s="174">
        <v>14</v>
      </c>
      <c r="D237" s="156" t="s">
        <v>180</v>
      </c>
      <c r="E237" s="174" t="s">
        <v>200</v>
      </c>
      <c r="F237" s="174" t="s">
        <v>298</v>
      </c>
      <c r="G237" s="156" t="s">
        <v>202</v>
      </c>
      <c r="H237" s="156"/>
      <c r="I237" s="210">
        <f>12000+15000</f>
        <v>27000</v>
      </c>
      <c r="J237" s="210">
        <v>0</v>
      </c>
      <c r="K237" s="210">
        <v>0</v>
      </c>
    </row>
    <row r="238" spans="1:13" ht="13.5">
      <c r="A238" s="148" t="s">
        <v>350</v>
      </c>
      <c r="B238" s="158" t="s">
        <v>351</v>
      </c>
      <c r="C238" s="154" t="s">
        <v>25</v>
      </c>
      <c r="D238" s="173" t="s">
        <v>125</v>
      </c>
      <c r="E238" s="174" t="s">
        <v>126</v>
      </c>
      <c r="F238" s="151" t="s">
        <v>294</v>
      </c>
      <c r="G238" s="154"/>
      <c r="H238" s="173" t="s">
        <v>127</v>
      </c>
      <c r="I238" s="209">
        <f>I240+I288</f>
        <v>6334770</v>
      </c>
      <c r="J238" s="209">
        <f>J240+J288</f>
        <v>3869352</v>
      </c>
      <c r="K238" s="209">
        <f>K240+K288</f>
        <v>4191270</v>
      </c>
      <c r="M238" s="40"/>
    </row>
    <row r="239" spans="1:11" ht="13.5">
      <c r="A239" s="148" t="s">
        <v>247</v>
      </c>
      <c r="B239" s="158" t="s">
        <v>351</v>
      </c>
      <c r="C239" s="154" t="s">
        <v>25</v>
      </c>
      <c r="D239" s="173" t="s">
        <v>125</v>
      </c>
      <c r="E239" s="174" t="s">
        <v>126</v>
      </c>
      <c r="F239" s="151" t="s">
        <v>294</v>
      </c>
      <c r="G239" s="154"/>
      <c r="H239" s="173" t="s">
        <v>127</v>
      </c>
      <c r="I239" s="209">
        <f>I240</f>
        <v>6334770</v>
      </c>
      <c r="J239" s="209">
        <f>J240</f>
        <v>3869352</v>
      </c>
      <c r="K239" s="209">
        <f>K240</f>
        <v>4191270</v>
      </c>
    </row>
    <row r="240" spans="1:14" ht="13.5">
      <c r="A240" s="148" t="s">
        <v>111</v>
      </c>
      <c r="B240" s="158" t="s">
        <v>351</v>
      </c>
      <c r="C240" s="154" t="s">
        <v>25</v>
      </c>
      <c r="D240" s="154" t="s">
        <v>1</v>
      </c>
      <c r="E240" s="158" t="s">
        <v>250</v>
      </c>
      <c r="F240" s="151" t="s">
        <v>299</v>
      </c>
      <c r="G240" s="154"/>
      <c r="H240" s="173" t="s">
        <v>127</v>
      </c>
      <c r="I240" s="209">
        <f>I241+I272+I258+I265</f>
        <v>6334770</v>
      </c>
      <c r="J240" s="209">
        <f>J241+J272+J258+J265</f>
        <v>3869352</v>
      </c>
      <c r="K240" s="209">
        <f>K241+K258+K265+K272</f>
        <v>4191270</v>
      </c>
      <c r="M240" s="65"/>
      <c r="N240" s="65"/>
    </row>
    <row r="241" spans="1:14" ht="27">
      <c r="A241" s="148" t="s">
        <v>241</v>
      </c>
      <c r="B241" s="158" t="s">
        <v>351</v>
      </c>
      <c r="C241" s="174" t="s">
        <v>25</v>
      </c>
      <c r="D241" s="174" t="s">
        <v>1</v>
      </c>
      <c r="E241" s="149" t="s">
        <v>94</v>
      </c>
      <c r="F241" s="149" t="s">
        <v>300</v>
      </c>
      <c r="G241" s="174"/>
      <c r="H241" s="173" t="s">
        <v>127</v>
      </c>
      <c r="I241" s="208">
        <f>I242+I247+I255</f>
        <v>5010110</v>
      </c>
      <c r="J241" s="208">
        <f>J242+J247+J255+J258+J265</f>
        <v>2925632</v>
      </c>
      <c r="K241" s="208">
        <f>K242+K247+K255</f>
        <v>3208490</v>
      </c>
      <c r="M241" s="65"/>
      <c r="N241" s="65"/>
    </row>
    <row r="242" spans="1:13" ht="27">
      <c r="A242" s="155" t="s">
        <v>168</v>
      </c>
      <c r="B242" s="158" t="s">
        <v>351</v>
      </c>
      <c r="C242" s="174" t="s">
        <v>25</v>
      </c>
      <c r="D242" s="174" t="s">
        <v>1</v>
      </c>
      <c r="E242" s="149" t="s">
        <v>94</v>
      </c>
      <c r="F242" s="149" t="s">
        <v>300</v>
      </c>
      <c r="G242" s="174">
        <v>100</v>
      </c>
      <c r="H242" s="174">
        <v>210</v>
      </c>
      <c r="I242" s="208">
        <f>I243</f>
        <v>2350110</v>
      </c>
      <c r="J242" s="208">
        <f>J243</f>
        <v>2473800</v>
      </c>
      <c r="K242" s="208">
        <f>K243</f>
        <v>2597490</v>
      </c>
      <c r="M242" s="65"/>
    </row>
    <row r="243" spans="1:14" ht="24" customHeight="1">
      <c r="A243" s="155" t="s">
        <v>169</v>
      </c>
      <c r="B243" s="158" t="s">
        <v>351</v>
      </c>
      <c r="C243" s="174" t="s">
        <v>25</v>
      </c>
      <c r="D243" s="174" t="s">
        <v>1</v>
      </c>
      <c r="E243" s="149" t="s">
        <v>94</v>
      </c>
      <c r="F243" s="149" t="s">
        <v>300</v>
      </c>
      <c r="G243" s="174">
        <v>110</v>
      </c>
      <c r="H243" s="174">
        <v>211</v>
      </c>
      <c r="I243" s="208">
        <f>I244+I245</f>
        <v>2350110</v>
      </c>
      <c r="J243" s="208">
        <f>J244+J245</f>
        <v>2473800</v>
      </c>
      <c r="K243" s="208">
        <f>K244+K245</f>
        <v>2597490</v>
      </c>
      <c r="N243" s="65"/>
    </row>
    <row r="244" spans="1:14" ht="13.5" hidden="1">
      <c r="A244" s="157" t="s">
        <v>10</v>
      </c>
      <c r="B244" s="271" t="s">
        <v>351</v>
      </c>
      <c r="C244" s="275" t="s">
        <v>25</v>
      </c>
      <c r="D244" s="275" t="s">
        <v>1</v>
      </c>
      <c r="E244" s="274" t="s">
        <v>94</v>
      </c>
      <c r="F244" s="274" t="s">
        <v>300</v>
      </c>
      <c r="G244" s="275">
        <v>111</v>
      </c>
      <c r="H244" s="275">
        <v>213</v>
      </c>
      <c r="I244" s="282">
        <f>38000*4.75*10</f>
        <v>1805000</v>
      </c>
      <c r="J244" s="278">
        <f>40000*4.75*10</f>
        <v>1900000</v>
      </c>
      <c r="K244" s="278">
        <f>42000*4.75*10</f>
        <v>1995000</v>
      </c>
      <c r="N244" s="65"/>
    </row>
    <row r="245" spans="1:14" ht="16.5" customHeight="1" hidden="1">
      <c r="A245" s="157" t="s">
        <v>12</v>
      </c>
      <c r="B245" s="271" t="s">
        <v>351</v>
      </c>
      <c r="C245" s="275" t="s">
        <v>25</v>
      </c>
      <c r="D245" s="275" t="s">
        <v>1</v>
      </c>
      <c r="E245" s="274" t="s">
        <v>94</v>
      </c>
      <c r="F245" s="274" t="s">
        <v>300</v>
      </c>
      <c r="G245" s="275">
        <v>119</v>
      </c>
      <c r="H245" s="275"/>
      <c r="I245" s="282">
        <f>I244*30.2%</f>
        <v>545110</v>
      </c>
      <c r="J245" s="278">
        <f>J244*30.2%</f>
        <v>573800</v>
      </c>
      <c r="K245" s="278">
        <f>K244*30.2%</f>
        <v>602490</v>
      </c>
      <c r="N245" s="65"/>
    </row>
    <row r="246" spans="1:11" ht="27">
      <c r="A246" s="155" t="s">
        <v>242</v>
      </c>
      <c r="B246" s="158" t="s">
        <v>351</v>
      </c>
      <c r="C246" s="174" t="s">
        <v>25</v>
      </c>
      <c r="D246" s="174" t="s">
        <v>1</v>
      </c>
      <c r="E246" s="149" t="s">
        <v>94</v>
      </c>
      <c r="F246" s="149" t="s">
        <v>300</v>
      </c>
      <c r="G246" s="174"/>
      <c r="H246" s="173" t="s">
        <v>127</v>
      </c>
      <c r="I246" s="208">
        <f>I247</f>
        <v>2650000</v>
      </c>
      <c r="J246" s="208">
        <f>J247</f>
        <v>450000</v>
      </c>
      <c r="K246" s="208">
        <f>K247</f>
        <v>610000</v>
      </c>
    </row>
    <row r="247" spans="1:11" ht="27">
      <c r="A247" s="155" t="s">
        <v>167</v>
      </c>
      <c r="B247" s="158" t="s">
        <v>351</v>
      </c>
      <c r="C247" s="174" t="s">
        <v>25</v>
      </c>
      <c r="D247" s="174" t="s">
        <v>1</v>
      </c>
      <c r="E247" s="149" t="s">
        <v>94</v>
      </c>
      <c r="F247" s="149" t="s">
        <v>300</v>
      </c>
      <c r="G247" s="174">
        <v>200</v>
      </c>
      <c r="H247" s="173" t="s">
        <v>127</v>
      </c>
      <c r="I247" s="208">
        <f>SUM(I249)</f>
        <v>2650000</v>
      </c>
      <c r="J247" s="208">
        <f>SUM(J249)</f>
        <v>450000</v>
      </c>
      <c r="K247" s="208">
        <f>SUM(K249)</f>
        <v>610000</v>
      </c>
    </row>
    <row r="248" spans="1:11" ht="27">
      <c r="A248" s="155" t="s">
        <v>267</v>
      </c>
      <c r="B248" s="158" t="s">
        <v>351</v>
      </c>
      <c r="C248" s="174" t="s">
        <v>25</v>
      </c>
      <c r="D248" s="174" t="s">
        <v>1</v>
      </c>
      <c r="E248" s="149" t="s">
        <v>94</v>
      </c>
      <c r="F248" s="149" t="s">
        <v>300</v>
      </c>
      <c r="G248" s="174">
        <v>240</v>
      </c>
      <c r="H248" s="173"/>
      <c r="I248" s="208">
        <f>I249</f>
        <v>2650000</v>
      </c>
      <c r="J248" s="208">
        <f>J249</f>
        <v>450000</v>
      </c>
      <c r="K248" s="208">
        <f>K249</f>
        <v>610000</v>
      </c>
    </row>
    <row r="249" spans="1:14" ht="30" customHeight="1">
      <c r="A249" s="155" t="s">
        <v>163</v>
      </c>
      <c r="B249" s="158" t="s">
        <v>351</v>
      </c>
      <c r="C249" s="174" t="s">
        <v>25</v>
      </c>
      <c r="D249" s="174" t="s">
        <v>1</v>
      </c>
      <c r="E249" s="149" t="s">
        <v>94</v>
      </c>
      <c r="F249" s="149" t="s">
        <v>300</v>
      </c>
      <c r="G249" s="174">
        <v>244</v>
      </c>
      <c r="H249" s="173" t="s">
        <v>127</v>
      </c>
      <c r="I249" s="208">
        <f>I251+I252+I254+I253+I250</f>
        <v>2650000</v>
      </c>
      <c r="J249" s="208">
        <f>J251+J252+J254+J253+J250</f>
        <v>450000</v>
      </c>
      <c r="K249" s="208">
        <f>K250+K251+K252+K254+K253</f>
        <v>610000</v>
      </c>
      <c r="M249" s="40"/>
      <c r="N249" s="40"/>
    </row>
    <row r="250" spans="1:13" ht="19.5" customHeight="1" hidden="1">
      <c r="A250" s="157" t="s">
        <v>16</v>
      </c>
      <c r="B250" s="271" t="s">
        <v>351</v>
      </c>
      <c r="C250" s="275" t="s">
        <v>25</v>
      </c>
      <c r="D250" s="275" t="s">
        <v>1</v>
      </c>
      <c r="E250" s="274" t="s">
        <v>94</v>
      </c>
      <c r="F250" s="274" t="s">
        <v>301</v>
      </c>
      <c r="G250" s="275">
        <v>223</v>
      </c>
      <c r="H250" s="173"/>
      <c r="I250" s="208">
        <v>300000</v>
      </c>
      <c r="J250" s="208">
        <f>250000+50000</f>
        <v>300000</v>
      </c>
      <c r="K250" s="208">
        <v>100000</v>
      </c>
      <c r="M250" s="40"/>
    </row>
    <row r="251" spans="1:11" ht="13.5" hidden="1">
      <c r="A251" s="157" t="s">
        <v>164</v>
      </c>
      <c r="B251" s="271" t="s">
        <v>351</v>
      </c>
      <c r="C251" s="275" t="s">
        <v>25</v>
      </c>
      <c r="D251" s="275" t="s">
        <v>1</v>
      </c>
      <c r="E251" s="274" t="s">
        <v>94</v>
      </c>
      <c r="F251" s="274" t="s">
        <v>301</v>
      </c>
      <c r="G251" s="275">
        <v>226</v>
      </c>
      <c r="H251" s="174">
        <v>226</v>
      </c>
      <c r="I251" s="208">
        <f>755000+445000+1000000</f>
        <v>2200000</v>
      </c>
      <c r="J251" s="210">
        <v>100000</v>
      </c>
      <c r="K251" s="210">
        <f>500000</f>
        <v>500000</v>
      </c>
    </row>
    <row r="252" spans="1:11" ht="67.5" hidden="1">
      <c r="A252" s="193" t="s">
        <v>392</v>
      </c>
      <c r="B252" s="271" t="s">
        <v>351</v>
      </c>
      <c r="C252" s="275" t="s">
        <v>25</v>
      </c>
      <c r="D252" s="275" t="s">
        <v>1</v>
      </c>
      <c r="E252" s="274" t="s">
        <v>94</v>
      </c>
      <c r="F252" s="274" t="s">
        <v>301</v>
      </c>
      <c r="G252" s="275">
        <v>228</v>
      </c>
      <c r="H252" s="174">
        <v>290</v>
      </c>
      <c r="I252" s="215">
        <v>0</v>
      </c>
      <c r="J252" s="210">
        <v>0</v>
      </c>
      <c r="K252" s="210">
        <v>0</v>
      </c>
    </row>
    <row r="253" spans="1:11" ht="33" customHeight="1" hidden="1">
      <c r="A253" s="157" t="s">
        <v>21</v>
      </c>
      <c r="B253" s="271" t="s">
        <v>351</v>
      </c>
      <c r="C253" s="275" t="s">
        <v>25</v>
      </c>
      <c r="D253" s="275" t="s">
        <v>1</v>
      </c>
      <c r="E253" s="274" t="s">
        <v>94</v>
      </c>
      <c r="F253" s="274" t="s">
        <v>301</v>
      </c>
      <c r="G253" s="275">
        <v>310</v>
      </c>
      <c r="H253" s="174">
        <v>340</v>
      </c>
      <c r="I253" s="216">
        <v>50000</v>
      </c>
      <c r="J253" s="216">
        <v>0</v>
      </c>
      <c r="K253" s="216">
        <v>0</v>
      </c>
    </row>
    <row r="254" spans="1:11" ht="27" hidden="1">
      <c r="A254" s="157" t="s">
        <v>137</v>
      </c>
      <c r="B254" s="271" t="s">
        <v>351</v>
      </c>
      <c r="C254" s="275" t="s">
        <v>25</v>
      </c>
      <c r="D254" s="275" t="s">
        <v>1</v>
      </c>
      <c r="E254" s="274" t="s">
        <v>94</v>
      </c>
      <c r="F254" s="274" t="s">
        <v>301</v>
      </c>
      <c r="G254" s="275">
        <v>340</v>
      </c>
      <c r="H254" s="174">
        <v>310</v>
      </c>
      <c r="I254" s="257">
        <f>15000+85000</f>
        <v>100000</v>
      </c>
      <c r="J254" s="216">
        <v>50000</v>
      </c>
      <c r="K254" s="216">
        <v>10000</v>
      </c>
    </row>
    <row r="255" spans="1:11" ht="13.5">
      <c r="A255" s="155" t="s">
        <v>237</v>
      </c>
      <c r="B255" s="158" t="s">
        <v>351</v>
      </c>
      <c r="C255" s="174" t="s">
        <v>25</v>
      </c>
      <c r="D255" s="174" t="s">
        <v>1</v>
      </c>
      <c r="E255" s="149" t="s">
        <v>94</v>
      </c>
      <c r="F255" s="149" t="s">
        <v>300</v>
      </c>
      <c r="G255" s="174">
        <v>800</v>
      </c>
      <c r="H255" s="173" t="s">
        <v>127</v>
      </c>
      <c r="I255" s="215">
        <f aca="true" t="shared" si="36" ref="I255:K256">I256</f>
        <v>10000</v>
      </c>
      <c r="J255" s="215">
        <f t="shared" si="36"/>
        <v>1832</v>
      </c>
      <c r="K255" s="215">
        <f t="shared" si="36"/>
        <v>1000</v>
      </c>
    </row>
    <row r="256" spans="1:11" ht="27">
      <c r="A256" s="176" t="s">
        <v>165</v>
      </c>
      <c r="B256" s="158" t="s">
        <v>351</v>
      </c>
      <c r="C256" s="174" t="s">
        <v>25</v>
      </c>
      <c r="D256" s="174" t="s">
        <v>1</v>
      </c>
      <c r="E256" s="149" t="s">
        <v>94</v>
      </c>
      <c r="F256" s="149" t="s">
        <v>300</v>
      </c>
      <c r="G256" s="174">
        <v>850</v>
      </c>
      <c r="H256" s="173"/>
      <c r="I256" s="215">
        <f t="shared" si="36"/>
        <v>10000</v>
      </c>
      <c r="J256" s="215">
        <f t="shared" si="36"/>
        <v>1832</v>
      </c>
      <c r="K256" s="215">
        <f t="shared" si="36"/>
        <v>1000</v>
      </c>
    </row>
    <row r="257" spans="1:11" ht="27">
      <c r="A257" s="176" t="s">
        <v>302</v>
      </c>
      <c r="B257" s="158" t="s">
        <v>351</v>
      </c>
      <c r="C257" s="174" t="s">
        <v>25</v>
      </c>
      <c r="D257" s="174" t="s">
        <v>1</v>
      </c>
      <c r="E257" s="149" t="s">
        <v>94</v>
      </c>
      <c r="F257" s="149" t="s">
        <v>300</v>
      </c>
      <c r="G257" s="174">
        <v>853</v>
      </c>
      <c r="H257" s="173"/>
      <c r="I257" s="215">
        <v>10000</v>
      </c>
      <c r="J257" s="210">
        <v>1832</v>
      </c>
      <c r="K257" s="210">
        <v>1000</v>
      </c>
    </row>
    <row r="258" spans="1:11" ht="40.5">
      <c r="A258" s="148" t="s">
        <v>445</v>
      </c>
      <c r="B258" s="158" t="s">
        <v>351</v>
      </c>
      <c r="C258" s="154" t="s">
        <v>25</v>
      </c>
      <c r="D258" s="154" t="s">
        <v>1</v>
      </c>
      <c r="E258" s="151"/>
      <c r="F258" s="151" t="s">
        <v>444</v>
      </c>
      <c r="G258" s="154" t="s">
        <v>4</v>
      </c>
      <c r="H258" s="154"/>
      <c r="I258" s="289">
        <f aca="true" t="shared" si="37" ref="I258:K260">I259</f>
        <v>387984.37</v>
      </c>
      <c r="J258" s="290">
        <f t="shared" si="37"/>
        <v>0</v>
      </c>
      <c r="K258" s="290">
        <f t="shared" si="37"/>
        <v>0</v>
      </c>
    </row>
    <row r="259" spans="1:11" ht="40.5">
      <c r="A259" s="155" t="s">
        <v>161</v>
      </c>
      <c r="B259" s="156" t="s">
        <v>351</v>
      </c>
      <c r="C259" s="174" t="s">
        <v>25</v>
      </c>
      <c r="D259" s="174" t="s">
        <v>1</v>
      </c>
      <c r="E259" s="149"/>
      <c r="F259" s="149" t="s">
        <v>444</v>
      </c>
      <c r="G259" s="174">
        <v>200</v>
      </c>
      <c r="H259" s="174"/>
      <c r="I259" s="287">
        <f t="shared" si="37"/>
        <v>387984.37</v>
      </c>
      <c r="J259" s="291">
        <f t="shared" si="37"/>
        <v>0</v>
      </c>
      <c r="K259" s="291">
        <f t="shared" si="37"/>
        <v>0</v>
      </c>
    </row>
    <row r="260" spans="1:11" ht="27">
      <c r="A260" s="155" t="str">
        <f>A248</f>
        <v>Иные закупки товаров,работ и услуг для муниципальных нужд</v>
      </c>
      <c r="B260" s="156" t="s">
        <v>351</v>
      </c>
      <c r="C260" s="174" t="s">
        <v>25</v>
      </c>
      <c r="D260" s="174" t="s">
        <v>1</v>
      </c>
      <c r="E260" s="149"/>
      <c r="F260" s="149" t="s">
        <v>444</v>
      </c>
      <c r="G260" s="174">
        <v>240</v>
      </c>
      <c r="H260" s="174"/>
      <c r="I260" s="287">
        <f t="shared" si="37"/>
        <v>387984.37</v>
      </c>
      <c r="J260" s="291">
        <f t="shared" si="37"/>
        <v>0</v>
      </c>
      <c r="K260" s="291">
        <f t="shared" si="37"/>
        <v>0</v>
      </c>
    </row>
    <row r="261" spans="1:11" ht="30.75" customHeight="1">
      <c r="A261" s="155" t="str">
        <f>A249</f>
        <v>Прочая закупка товаров,работ,услуг для муниципальных нужд</v>
      </c>
      <c r="B261" s="156" t="s">
        <v>351</v>
      </c>
      <c r="C261" s="174" t="s">
        <v>25</v>
      </c>
      <c r="D261" s="174" t="s">
        <v>1</v>
      </c>
      <c r="E261" s="149"/>
      <c r="F261" s="149" t="s">
        <v>444</v>
      </c>
      <c r="G261" s="174">
        <v>244</v>
      </c>
      <c r="H261" s="174"/>
      <c r="I261" s="287">
        <f>I262+I263+I264</f>
        <v>387984.37</v>
      </c>
      <c r="J261" s="291">
        <f>J262+J263+J264</f>
        <v>0</v>
      </c>
      <c r="K261" s="291">
        <f>K262+K263+K264</f>
        <v>0</v>
      </c>
    </row>
    <row r="262" spans="1:11" ht="19.5" customHeight="1" hidden="1">
      <c r="A262" s="157" t="s">
        <v>159</v>
      </c>
      <c r="B262" s="276" t="s">
        <v>351</v>
      </c>
      <c r="C262" s="275" t="s">
        <v>25</v>
      </c>
      <c r="D262" s="275" t="s">
        <v>1</v>
      </c>
      <c r="E262" s="274"/>
      <c r="F262" s="274" t="s">
        <v>444</v>
      </c>
      <c r="G262" s="275">
        <v>226</v>
      </c>
      <c r="H262" s="174"/>
      <c r="I262" s="257">
        <v>100000</v>
      </c>
      <c r="J262" s="288">
        <v>0</v>
      </c>
      <c r="K262" s="288">
        <v>0</v>
      </c>
    </row>
    <row r="263" spans="1:11" ht="27" hidden="1">
      <c r="A263" s="157" t="s">
        <v>21</v>
      </c>
      <c r="B263" s="276" t="s">
        <v>351</v>
      </c>
      <c r="C263" s="275" t="s">
        <v>25</v>
      </c>
      <c r="D263" s="275" t="s">
        <v>1</v>
      </c>
      <c r="E263" s="274"/>
      <c r="F263" s="274" t="s">
        <v>444</v>
      </c>
      <c r="G263" s="275">
        <v>310</v>
      </c>
      <c r="H263" s="174"/>
      <c r="I263" s="257">
        <v>150000</v>
      </c>
      <c r="J263" s="288">
        <v>0</v>
      </c>
      <c r="K263" s="288">
        <v>0</v>
      </c>
    </row>
    <row r="264" spans="1:11" ht="27" hidden="1">
      <c r="A264" s="157" t="s">
        <v>22</v>
      </c>
      <c r="B264" s="276" t="s">
        <v>351</v>
      </c>
      <c r="C264" s="275" t="s">
        <v>25</v>
      </c>
      <c r="D264" s="275" t="s">
        <v>1</v>
      </c>
      <c r="E264" s="274"/>
      <c r="F264" s="274" t="s">
        <v>444</v>
      </c>
      <c r="G264" s="275">
        <v>340</v>
      </c>
      <c r="H264" s="174"/>
      <c r="I264" s="287">
        <v>137984.37</v>
      </c>
      <c r="J264" s="288">
        <v>0</v>
      </c>
      <c r="K264" s="288">
        <v>0</v>
      </c>
    </row>
    <row r="265" spans="1:11" ht="40.5">
      <c r="A265" s="148" t="s">
        <v>446</v>
      </c>
      <c r="B265" s="158" t="s">
        <v>351</v>
      </c>
      <c r="C265" s="154" t="s">
        <v>25</v>
      </c>
      <c r="D265" s="154" t="s">
        <v>1</v>
      </c>
      <c r="E265" s="151"/>
      <c r="F265" s="151" t="s">
        <v>444</v>
      </c>
      <c r="G265" s="154" t="s">
        <v>4</v>
      </c>
      <c r="H265" s="154"/>
      <c r="I265" s="289">
        <f aca="true" t="shared" si="38" ref="I265:K267">I266</f>
        <v>12015.630000000001</v>
      </c>
      <c r="J265" s="292">
        <f t="shared" si="38"/>
        <v>0</v>
      </c>
      <c r="K265" s="292">
        <f t="shared" si="38"/>
        <v>0</v>
      </c>
    </row>
    <row r="266" spans="1:11" ht="40.5">
      <c r="A266" s="155" t="s">
        <v>161</v>
      </c>
      <c r="B266" s="156" t="s">
        <v>351</v>
      </c>
      <c r="C266" s="174" t="s">
        <v>25</v>
      </c>
      <c r="D266" s="174" t="s">
        <v>1</v>
      </c>
      <c r="E266" s="149"/>
      <c r="F266" s="149" t="s">
        <v>444</v>
      </c>
      <c r="G266" s="174">
        <v>200</v>
      </c>
      <c r="H266" s="174"/>
      <c r="I266" s="287">
        <f t="shared" si="38"/>
        <v>12015.630000000001</v>
      </c>
      <c r="J266" s="288">
        <f t="shared" si="38"/>
        <v>0</v>
      </c>
      <c r="K266" s="288">
        <f t="shared" si="38"/>
        <v>0</v>
      </c>
    </row>
    <row r="267" spans="1:11" ht="40.5">
      <c r="A267" s="155" t="str">
        <f>A258</f>
        <v>РЕАЛИЗАЦИЯ МЕРОПРИЯТИЙ ПЕРЕЧНЯ ПРОЕКТОВ НАРОДНЫХ ИНИЦИАТИВ ЗА СЧЕТ СРЕДСТВ ОБЛАСТНОГО БЮДЖЕТА</v>
      </c>
      <c r="B267" s="156" t="s">
        <v>351</v>
      </c>
      <c r="C267" s="174" t="s">
        <v>25</v>
      </c>
      <c r="D267" s="174" t="s">
        <v>1</v>
      </c>
      <c r="E267" s="149"/>
      <c r="F267" s="149" t="s">
        <v>444</v>
      </c>
      <c r="G267" s="174">
        <v>240</v>
      </c>
      <c r="H267" s="174"/>
      <c r="I267" s="287">
        <f t="shared" si="38"/>
        <v>12015.630000000001</v>
      </c>
      <c r="J267" s="288">
        <f t="shared" si="38"/>
        <v>0</v>
      </c>
      <c r="K267" s="288">
        <f t="shared" si="38"/>
        <v>0</v>
      </c>
    </row>
    <row r="268" spans="1:11" ht="40.5">
      <c r="A268" s="155" t="str">
        <f>A259</f>
        <v>Закупка товаров, работ,услуг в целях формирования муниципального материального резерва</v>
      </c>
      <c r="B268" s="156" t="s">
        <v>351</v>
      </c>
      <c r="C268" s="174" t="s">
        <v>25</v>
      </c>
      <c r="D268" s="174" t="s">
        <v>1</v>
      </c>
      <c r="E268" s="149"/>
      <c r="F268" s="149" t="s">
        <v>444</v>
      </c>
      <c r="G268" s="174">
        <v>244</v>
      </c>
      <c r="H268" s="174"/>
      <c r="I268" s="287">
        <f>I269+I270+I271</f>
        <v>12015.630000000001</v>
      </c>
      <c r="J268" s="288">
        <f>J269+J270+J271</f>
        <v>0</v>
      </c>
      <c r="K268" s="288">
        <f>K269+K270+K271</f>
        <v>0</v>
      </c>
    </row>
    <row r="269" spans="1:11" ht="13.5" hidden="1">
      <c r="A269" s="157" t="s">
        <v>159</v>
      </c>
      <c r="B269" s="276" t="s">
        <v>351</v>
      </c>
      <c r="C269" s="275" t="s">
        <v>25</v>
      </c>
      <c r="D269" s="275" t="s">
        <v>1</v>
      </c>
      <c r="E269" s="274"/>
      <c r="F269" s="274" t="s">
        <v>444</v>
      </c>
      <c r="G269" s="275">
        <v>226</v>
      </c>
      <c r="H269" s="174"/>
      <c r="I269" s="257">
        <v>3000</v>
      </c>
      <c r="J269" s="288">
        <v>0</v>
      </c>
      <c r="K269" s="288">
        <v>0</v>
      </c>
    </row>
    <row r="270" spans="1:11" ht="27" hidden="1">
      <c r="A270" s="157" t="s">
        <v>21</v>
      </c>
      <c r="B270" s="276" t="s">
        <v>351</v>
      </c>
      <c r="C270" s="275" t="s">
        <v>25</v>
      </c>
      <c r="D270" s="275" t="s">
        <v>1</v>
      </c>
      <c r="E270" s="274"/>
      <c r="F270" s="274" t="s">
        <v>444</v>
      </c>
      <c r="G270" s="275">
        <v>310</v>
      </c>
      <c r="H270" s="174"/>
      <c r="I270" s="257">
        <v>5000</v>
      </c>
      <c r="J270" s="288">
        <v>0</v>
      </c>
      <c r="K270" s="288">
        <v>0</v>
      </c>
    </row>
    <row r="271" spans="1:11" ht="27" hidden="1">
      <c r="A271" s="157" t="s">
        <v>22</v>
      </c>
      <c r="B271" s="276" t="s">
        <v>351</v>
      </c>
      <c r="C271" s="275" t="s">
        <v>25</v>
      </c>
      <c r="D271" s="275" t="s">
        <v>1</v>
      </c>
      <c r="E271" s="274"/>
      <c r="F271" s="274" t="s">
        <v>444</v>
      </c>
      <c r="G271" s="275">
        <v>340</v>
      </c>
      <c r="H271" s="174"/>
      <c r="I271" s="287">
        <v>4015.63</v>
      </c>
      <c r="J271" s="288">
        <v>0</v>
      </c>
      <c r="K271" s="288">
        <v>0</v>
      </c>
    </row>
    <row r="272" spans="1:13" ht="27">
      <c r="A272" s="148" t="s">
        <v>243</v>
      </c>
      <c r="B272" s="158" t="s">
        <v>351</v>
      </c>
      <c r="C272" s="154" t="s">
        <v>25</v>
      </c>
      <c r="D272" s="154" t="s">
        <v>1</v>
      </c>
      <c r="E272" s="151" t="s">
        <v>29</v>
      </c>
      <c r="F272" s="151" t="s">
        <v>303</v>
      </c>
      <c r="G272" s="154"/>
      <c r="H272" s="173" t="s">
        <v>127</v>
      </c>
      <c r="I272" s="209">
        <f>I273</f>
        <v>924660</v>
      </c>
      <c r="J272" s="209">
        <f>J273</f>
        <v>943720</v>
      </c>
      <c r="K272" s="209">
        <f>K273</f>
        <v>982780</v>
      </c>
      <c r="M272" s="65"/>
    </row>
    <row r="273" spans="1:11" ht="27">
      <c r="A273" s="155" t="s">
        <v>168</v>
      </c>
      <c r="B273" s="158" t="s">
        <v>351</v>
      </c>
      <c r="C273" s="174" t="s">
        <v>25</v>
      </c>
      <c r="D273" s="174" t="s">
        <v>1</v>
      </c>
      <c r="E273" s="149" t="s">
        <v>97</v>
      </c>
      <c r="F273" s="149" t="s">
        <v>304</v>
      </c>
      <c r="G273" s="174" t="s">
        <v>4</v>
      </c>
      <c r="H273" s="173" t="s">
        <v>127</v>
      </c>
      <c r="I273" s="208">
        <f>I276+I282</f>
        <v>924660</v>
      </c>
      <c r="J273" s="208">
        <f>J276+J282</f>
        <v>943720</v>
      </c>
      <c r="K273" s="208">
        <f>K276+K282</f>
        <v>982780</v>
      </c>
    </row>
    <row r="274" spans="1:13" ht="108">
      <c r="A274" s="155" t="s">
        <v>265</v>
      </c>
      <c r="B274" s="158" t="s">
        <v>351</v>
      </c>
      <c r="C274" s="174" t="s">
        <v>25</v>
      </c>
      <c r="D274" s="174" t="s">
        <v>1</v>
      </c>
      <c r="E274" s="149" t="s">
        <v>97</v>
      </c>
      <c r="F274" s="149" t="s">
        <v>304</v>
      </c>
      <c r="G274" s="174"/>
      <c r="H274" s="173"/>
      <c r="I274" s="208">
        <f>I276+I279</f>
        <v>924660</v>
      </c>
      <c r="J274" s="208">
        <f>J276+J279</f>
        <v>943720</v>
      </c>
      <c r="K274" s="208">
        <f>K276+K279</f>
        <v>982780</v>
      </c>
      <c r="M274" s="65"/>
    </row>
    <row r="275" spans="1:13" ht="40.5">
      <c r="A275" s="155" t="s">
        <v>275</v>
      </c>
      <c r="B275" s="158" t="s">
        <v>351</v>
      </c>
      <c r="C275" s="174" t="s">
        <v>25</v>
      </c>
      <c r="D275" s="174" t="s">
        <v>1</v>
      </c>
      <c r="E275" s="149" t="s">
        <v>29</v>
      </c>
      <c r="F275" s="149" t="s">
        <v>304</v>
      </c>
      <c r="G275" s="174">
        <v>100</v>
      </c>
      <c r="H275" s="173" t="s">
        <v>127</v>
      </c>
      <c r="I275" s="208">
        <f>I276</f>
        <v>742140</v>
      </c>
      <c r="J275" s="208">
        <f>J276</f>
        <v>781200</v>
      </c>
      <c r="K275" s="208">
        <f>K276</f>
        <v>820260</v>
      </c>
      <c r="M275" s="65"/>
    </row>
    <row r="276" spans="1:13" ht="33" customHeight="1">
      <c r="A276" s="155" t="s">
        <v>169</v>
      </c>
      <c r="B276" s="158" t="s">
        <v>351</v>
      </c>
      <c r="C276" s="174" t="s">
        <v>25</v>
      </c>
      <c r="D276" s="174" t="s">
        <v>1</v>
      </c>
      <c r="E276" s="149" t="s">
        <v>97</v>
      </c>
      <c r="F276" s="149" t="s">
        <v>304</v>
      </c>
      <c r="G276" s="174">
        <v>110</v>
      </c>
      <c r="H276" s="174">
        <v>210</v>
      </c>
      <c r="I276" s="208">
        <f>I277+I278</f>
        <v>742140</v>
      </c>
      <c r="J276" s="208">
        <f>J277+J278</f>
        <v>781200</v>
      </c>
      <c r="K276" s="208">
        <f>K277+K278</f>
        <v>820260</v>
      </c>
      <c r="M276" s="65"/>
    </row>
    <row r="277" spans="1:11" ht="18.75" customHeight="1" hidden="1">
      <c r="A277" s="157" t="s">
        <v>10</v>
      </c>
      <c r="B277" s="158" t="s">
        <v>351</v>
      </c>
      <c r="C277" s="174" t="s">
        <v>25</v>
      </c>
      <c r="D277" s="174" t="s">
        <v>1</v>
      </c>
      <c r="E277" s="149" t="s">
        <v>97</v>
      </c>
      <c r="F277" s="149"/>
      <c r="G277" s="174">
        <v>111</v>
      </c>
      <c r="H277" s="174">
        <v>211</v>
      </c>
      <c r="I277" s="215">
        <f>38000*1.5*10</f>
        <v>570000</v>
      </c>
      <c r="J277" s="210">
        <f>40000*1.5*10</f>
        <v>600000</v>
      </c>
      <c r="K277" s="210">
        <f>42000*1.5*10</f>
        <v>630000</v>
      </c>
    </row>
    <row r="278" spans="1:13" ht="18" customHeight="1" hidden="1">
      <c r="A278" s="157" t="s">
        <v>12</v>
      </c>
      <c r="B278" s="158" t="s">
        <v>351</v>
      </c>
      <c r="C278" s="174" t="s">
        <v>25</v>
      </c>
      <c r="D278" s="174" t="s">
        <v>1</v>
      </c>
      <c r="E278" s="149" t="s">
        <v>97</v>
      </c>
      <c r="F278" s="149"/>
      <c r="G278" s="174">
        <v>119</v>
      </c>
      <c r="H278" s="174">
        <v>213</v>
      </c>
      <c r="I278" s="208">
        <f>I277*30.2%</f>
        <v>172140</v>
      </c>
      <c r="J278" s="210">
        <f>J277*30.2%</f>
        <v>181200</v>
      </c>
      <c r="K278" s="210">
        <f>K277*30.2%</f>
        <v>190260</v>
      </c>
      <c r="M278" s="65"/>
    </row>
    <row r="279" spans="1:11" ht="27">
      <c r="A279" s="155" t="s">
        <v>242</v>
      </c>
      <c r="B279" s="158" t="s">
        <v>351</v>
      </c>
      <c r="C279" s="174" t="s">
        <v>25</v>
      </c>
      <c r="D279" s="174" t="s">
        <v>1</v>
      </c>
      <c r="E279" s="149" t="s">
        <v>97</v>
      </c>
      <c r="F279" s="149" t="s">
        <v>304</v>
      </c>
      <c r="G279" s="174"/>
      <c r="H279" s="173" t="s">
        <v>127</v>
      </c>
      <c r="I279" s="208">
        <f>I282</f>
        <v>182520</v>
      </c>
      <c r="J279" s="208">
        <f>J282</f>
        <v>162520</v>
      </c>
      <c r="K279" s="208">
        <f>K282</f>
        <v>162520</v>
      </c>
    </row>
    <row r="280" spans="1:11" ht="27">
      <c r="A280" s="155" t="s">
        <v>167</v>
      </c>
      <c r="B280" s="158" t="s">
        <v>351</v>
      </c>
      <c r="C280" s="174" t="s">
        <v>25</v>
      </c>
      <c r="D280" s="174" t="s">
        <v>1</v>
      </c>
      <c r="E280" s="149" t="s">
        <v>97</v>
      </c>
      <c r="F280" s="149" t="s">
        <v>304</v>
      </c>
      <c r="G280" s="174">
        <v>200</v>
      </c>
      <c r="H280" s="173"/>
      <c r="I280" s="208">
        <f aca="true" t="shared" si="39" ref="I280:K281">I281</f>
        <v>182520</v>
      </c>
      <c r="J280" s="208">
        <f t="shared" si="39"/>
        <v>162520</v>
      </c>
      <c r="K280" s="208">
        <f t="shared" si="39"/>
        <v>162520</v>
      </c>
    </row>
    <row r="281" spans="1:11" ht="27">
      <c r="A281" s="155" t="s">
        <v>267</v>
      </c>
      <c r="B281" s="158" t="s">
        <v>351</v>
      </c>
      <c r="C281" s="174" t="s">
        <v>25</v>
      </c>
      <c r="D281" s="174" t="s">
        <v>1</v>
      </c>
      <c r="E281" s="149" t="s">
        <v>97</v>
      </c>
      <c r="F281" s="149" t="s">
        <v>304</v>
      </c>
      <c r="G281" s="174">
        <v>240</v>
      </c>
      <c r="H281" s="173"/>
      <c r="I281" s="208">
        <f t="shared" si="39"/>
        <v>182520</v>
      </c>
      <c r="J281" s="208">
        <f t="shared" si="39"/>
        <v>162520</v>
      </c>
      <c r="K281" s="208">
        <f t="shared" si="39"/>
        <v>162520</v>
      </c>
    </row>
    <row r="282" spans="1:11" ht="54.75" customHeight="1">
      <c r="A282" s="155" t="s">
        <v>163</v>
      </c>
      <c r="B282" s="158" t="s">
        <v>351</v>
      </c>
      <c r="C282" s="174" t="s">
        <v>25</v>
      </c>
      <c r="D282" s="174" t="s">
        <v>1</v>
      </c>
      <c r="E282" s="149" t="s">
        <v>97</v>
      </c>
      <c r="F282" s="149" t="s">
        <v>304</v>
      </c>
      <c r="G282" s="174">
        <v>244</v>
      </c>
      <c r="H282" s="173" t="s">
        <v>127</v>
      </c>
      <c r="I282" s="208">
        <f>I283+I284+I285+I286+I287</f>
        <v>182520</v>
      </c>
      <c r="J282" s="208">
        <f>J283+J284+J285+J286+J287</f>
        <v>162520</v>
      </c>
      <c r="K282" s="208">
        <f>K283+K284+K285+K286+K287</f>
        <v>162520</v>
      </c>
    </row>
    <row r="283" spans="1:11" ht="27" hidden="1">
      <c r="A283" s="157" t="s">
        <v>108</v>
      </c>
      <c r="B283" s="156" t="s">
        <v>351</v>
      </c>
      <c r="C283" s="174" t="s">
        <v>25</v>
      </c>
      <c r="D283" s="174" t="s">
        <v>1</v>
      </c>
      <c r="E283" s="149" t="s">
        <v>97</v>
      </c>
      <c r="F283" s="149" t="s">
        <v>305</v>
      </c>
      <c r="G283" s="174">
        <v>244</v>
      </c>
      <c r="H283" s="174">
        <v>224</v>
      </c>
      <c r="I283" s="213">
        <v>0</v>
      </c>
      <c r="J283" s="210">
        <v>0</v>
      </c>
      <c r="K283" s="210">
        <v>0</v>
      </c>
    </row>
    <row r="284" spans="1:11" ht="13.5" hidden="1">
      <c r="A284" s="157" t="s">
        <v>17</v>
      </c>
      <c r="B284" s="156" t="s">
        <v>351</v>
      </c>
      <c r="C284" s="174" t="s">
        <v>25</v>
      </c>
      <c r="D284" s="174" t="s">
        <v>1</v>
      </c>
      <c r="E284" s="149" t="s">
        <v>97</v>
      </c>
      <c r="F284" s="149" t="s">
        <v>305</v>
      </c>
      <c r="G284" s="174">
        <v>225</v>
      </c>
      <c r="H284" s="174">
        <v>225</v>
      </c>
      <c r="I284" s="208">
        <v>0</v>
      </c>
      <c r="J284" s="210">
        <v>0</v>
      </c>
      <c r="K284" s="210">
        <v>0</v>
      </c>
    </row>
    <row r="285" spans="1:11" ht="14.25" customHeight="1" hidden="1">
      <c r="A285" s="157" t="s">
        <v>159</v>
      </c>
      <c r="B285" s="156" t="s">
        <v>351</v>
      </c>
      <c r="C285" s="174" t="s">
        <v>25</v>
      </c>
      <c r="D285" s="174" t="s">
        <v>1</v>
      </c>
      <c r="E285" s="149" t="s">
        <v>97</v>
      </c>
      <c r="F285" s="149" t="s">
        <v>305</v>
      </c>
      <c r="G285" s="174">
        <v>226</v>
      </c>
      <c r="H285" s="174">
        <v>226</v>
      </c>
      <c r="I285" s="213">
        <f>10000*12*127.1%</f>
        <v>152520</v>
      </c>
      <c r="J285" s="210">
        <f>10000*12*127.1%</f>
        <v>152520</v>
      </c>
      <c r="K285" s="210">
        <f>10000*12*127.1%</f>
        <v>152520</v>
      </c>
    </row>
    <row r="286" spans="1:11" ht="27" hidden="1">
      <c r="A286" s="157" t="s">
        <v>21</v>
      </c>
      <c r="B286" s="156" t="s">
        <v>351</v>
      </c>
      <c r="C286" s="174" t="s">
        <v>25</v>
      </c>
      <c r="D286" s="174" t="s">
        <v>1</v>
      </c>
      <c r="E286" s="149" t="s">
        <v>97</v>
      </c>
      <c r="F286" s="149" t="s">
        <v>305</v>
      </c>
      <c r="G286" s="174">
        <v>310</v>
      </c>
      <c r="H286" s="174">
        <v>310</v>
      </c>
      <c r="I286" s="213">
        <v>10000</v>
      </c>
      <c r="J286" s="210">
        <v>5000</v>
      </c>
      <c r="K286" s="210">
        <v>5000</v>
      </c>
    </row>
    <row r="287" spans="1:11" ht="27" hidden="1">
      <c r="A287" s="157" t="s">
        <v>137</v>
      </c>
      <c r="B287" s="156" t="s">
        <v>351</v>
      </c>
      <c r="C287" s="174" t="s">
        <v>25</v>
      </c>
      <c r="D287" s="174" t="s">
        <v>1</v>
      </c>
      <c r="E287" s="149" t="s">
        <v>97</v>
      </c>
      <c r="F287" s="149" t="s">
        <v>305</v>
      </c>
      <c r="G287" s="174">
        <v>340</v>
      </c>
      <c r="H287" s="174">
        <v>340</v>
      </c>
      <c r="I287" s="216">
        <v>20000</v>
      </c>
      <c r="J287" s="216">
        <v>5000</v>
      </c>
      <c r="K287" s="210">
        <v>5000</v>
      </c>
    </row>
    <row r="288" spans="1:11" ht="78" customHeight="1" hidden="1">
      <c r="A288" s="148" t="s">
        <v>393</v>
      </c>
      <c r="B288" s="156" t="s">
        <v>351</v>
      </c>
      <c r="C288" s="174" t="s">
        <v>25</v>
      </c>
      <c r="D288" s="174" t="s">
        <v>1</v>
      </c>
      <c r="E288" s="149" t="s">
        <v>244</v>
      </c>
      <c r="F288" s="149" t="s">
        <v>365</v>
      </c>
      <c r="G288" s="174" t="s">
        <v>4</v>
      </c>
      <c r="H288" s="173" t="s">
        <v>127</v>
      </c>
      <c r="I288" s="210">
        <f aca="true" t="shared" si="40" ref="I288:K291">I289</f>
        <v>0</v>
      </c>
      <c r="J288" s="210">
        <f t="shared" si="40"/>
        <v>0</v>
      </c>
      <c r="K288" s="210">
        <f t="shared" si="40"/>
        <v>0</v>
      </c>
    </row>
    <row r="289" spans="1:11" ht="38.25" customHeight="1" hidden="1">
      <c r="A289" s="155" t="s">
        <v>161</v>
      </c>
      <c r="B289" s="156" t="s">
        <v>351</v>
      </c>
      <c r="C289" s="174" t="s">
        <v>25</v>
      </c>
      <c r="D289" s="174" t="s">
        <v>1</v>
      </c>
      <c r="E289" s="149" t="s">
        <v>244</v>
      </c>
      <c r="F289" s="149" t="s">
        <v>365</v>
      </c>
      <c r="G289" s="149">
        <v>200</v>
      </c>
      <c r="H289" s="149">
        <v>210</v>
      </c>
      <c r="I289" s="210">
        <f t="shared" si="40"/>
        <v>0</v>
      </c>
      <c r="J289" s="210">
        <f t="shared" si="40"/>
        <v>0</v>
      </c>
      <c r="K289" s="210">
        <f t="shared" si="40"/>
        <v>0</v>
      </c>
    </row>
    <row r="290" spans="1:11" ht="25.5" customHeight="1" hidden="1">
      <c r="A290" s="155" t="s">
        <v>267</v>
      </c>
      <c r="B290" s="156" t="s">
        <v>351</v>
      </c>
      <c r="C290" s="174" t="s">
        <v>25</v>
      </c>
      <c r="D290" s="174" t="s">
        <v>1</v>
      </c>
      <c r="E290" s="149" t="s">
        <v>244</v>
      </c>
      <c r="F290" s="149" t="s">
        <v>365</v>
      </c>
      <c r="G290" s="149">
        <v>240</v>
      </c>
      <c r="H290" s="149">
        <v>211</v>
      </c>
      <c r="I290" s="210">
        <f t="shared" si="40"/>
        <v>0</v>
      </c>
      <c r="J290" s="210">
        <f t="shared" si="40"/>
        <v>0</v>
      </c>
      <c r="K290" s="210">
        <f t="shared" si="40"/>
        <v>0</v>
      </c>
    </row>
    <row r="291" spans="1:11" ht="29.25" customHeight="1" hidden="1">
      <c r="A291" s="155" t="s">
        <v>163</v>
      </c>
      <c r="B291" s="156" t="s">
        <v>351</v>
      </c>
      <c r="C291" s="174" t="s">
        <v>25</v>
      </c>
      <c r="D291" s="174" t="s">
        <v>1</v>
      </c>
      <c r="E291" s="149" t="s">
        <v>244</v>
      </c>
      <c r="F291" s="149" t="s">
        <v>365</v>
      </c>
      <c r="G291" s="149">
        <v>244</v>
      </c>
      <c r="H291" s="149">
        <v>213</v>
      </c>
      <c r="I291" s="210">
        <f t="shared" si="40"/>
        <v>0</v>
      </c>
      <c r="J291" s="210">
        <f t="shared" si="40"/>
        <v>0</v>
      </c>
      <c r="K291" s="210">
        <f t="shared" si="40"/>
        <v>0</v>
      </c>
    </row>
    <row r="292" spans="1:11" ht="12.75" customHeight="1" hidden="1">
      <c r="A292" s="155" t="s">
        <v>18</v>
      </c>
      <c r="B292" s="156" t="s">
        <v>351</v>
      </c>
      <c r="C292" s="174" t="s">
        <v>25</v>
      </c>
      <c r="D292" s="174" t="s">
        <v>1</v>
      </c>
      <c r="E292" s="149"/>
      <c r="F292" s="149" t="s">
        <v>365</v>
      </c>
      <c r="G292" s="149">
        <v>244</v>
      </c>
      <c r="H292" s="149"/>
      <c r="I292" s="210">
        <v>0</v>
      </c>
      <c r="J292" s="210">
        <v>0</v>
      </c>
      <c r="K292" s="210">
        <v>0</v>
      </c>
    </row>
    <row r="293" spans="1:11" ht="27.75" customHeight="1">
      <c r="A293" s="217" t="s">
        <v>316</v>
      </c>
      <c r="B293" s="186"/>
      <c r="C293" s="166"/>
      <c r="D293" s="166"/>
      <c r="E293" s="166"/>
      <c r="F293" s="166"/>
      <c r="G293" s="166"/>
      <c r="H293" s="166"/>
      <c r="I293" s="214"/>
      <c r="J293" s="214">
        <f>13935410*2.5%</f>
        <v>348385.25</v>
      </c>
      <c r="K293" s="214">
        <f>13508510*5%-0.5</f>
        <v>675425</v>
      </c>
    </row>
    <row r="294" spans="1:13" ht="12.75" customHeight="1">
      <c r="A294" s="167" t="s">
        <v>248</v>
      </c>
      <c r="B294" s="151"/>
      <c r="C294" s="151"/>
      <c r="D294" s="151"/>
      <c r="E294" s="151"/>
      <c r="F294" s="151"/>
      <c r="G294" s="151"/>
      <c r="H294" s="151"/>
      <c r="I294" s="268">
        <f>I8+I238</f>
        <v>25398189.6648</v>
      </c>
      <c r="J294" s="153">
        <f>J8+J238+J293</f>
        <v>14283795.2496</v>
      </c>
      <c r="K294" s="153">
        <f>K8+K238+K293</f>
        <v>14183934.9996</v>
      </c>
      <c r="M294" s="65"/>
    </row>
    <row r="295" ht="12.75">
      <c r="N295" s="65"/>
    </row>
    <row r="296" spans="9:13" ht="12.75">
      <c r="I296" s="195"/>
      <c r="J296" s="65"/>
      <c r="K296" s="65"/>
      <c r="M296" s="65"/>
    </row>
    <row r="297" spans="9:13" ht="12.75">
      <c r="I297" s="40"/>
      <c r="J297" s="65"/>
      <c r="K297" s="65"/>
      <c r="M297" s="65"/>
    </row>
    <row r="298" spans="9:11" ht="12.75">
      <c r="I298" s="65"/>
      <c r="J298" s="65"/>
      <c r="K298" s="65"/>
    </row>
    <row r="299" spans="10:11" ht="12.75">
      <c r="J299" s="65"/>
      <c r="K299" s="65"/>
    </row>
    <row r="300" ht="12.75">
      <c r="J300" s="65"/>
    </row>
    <row r="301" spans="7:10" ht="12.75">
      <c r="G301" s="128"/>
      <c r="I301" s="65"/>
      <c r="J301" s="65"/>
    </row>
    <row r="302" ht="12.75">
      <c r="I302" s="65"/>
    </row>
    <row r="303" ht="12.75">
      <c r="J303" s="65"/>
    </row>
    <row r="305" spans="10:11" ht="12.75">
      <c r="J305" s="65"/>
      <c r="K305" s="65"/>
    </row>
    <row r="307" ht="12.75">
      <c r="J307" s="65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4">
      <selection activeCell="H13" sqref="H13"/>
    </sheetView>
  </sheetViews>
  <sheetFormatPr defaultColWidth="9.00390625" defaultRowHeight="12.75"/>
  <cols>
    <col min="1" max="1" width="47.375" style="0" customWidth="1"/>
    <col min="2" max="2" width="26.125" style="0" customWidth="1"/>
    <col min="3" max="3" width="14.25390625" style="0" customWidth="1"/>
    <col min="4" max="4" width="13.625" style="0" customWidth="1"/>
    <col min="5" max="5" width="14.25390625" style="0" customWidth="1"/>
  </cols>
  <sheetData>
    <row r="2" spans="1:5" ht="12.75">
      <c r="A2" s="313" t="s">
        <v>230</v>
      </c>
      <c r="B2" s="294"/>
      <c r="C2" s="294"/>
      <c r="D2" s="294"/>
      <c r="E2" s="294"/>
    </row>
    <row r="3" spans="1:5" ht="41.25" customHeight="1">
      <c r="A3" s="43"/>
      <c r="B3" s="313" t="str">
        <f>прилож2!C2</f>
        <v>к проекту решению Думы МО "Гаханское" от "__" _______ 2020 г. №___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v>
      </c>
      <c r="C3" s="313"/>
      <c r="D3" s="294"/>
      <c r="E3" s="294"/>
    </row>
    <row r="4" spans="1:3" ht="12.75">
      <c r="A4" s="318"/>
      <c r="B4" s="318"/>
      <c r="C4" s="318"/>
    </row>
    <row r="5" spans="1:5" ht="12.75">
      <c r="A5" s="309" t="s">
        <v>193</v>
      </c>
      <c r="B5" s="309"/>
      <c r="C5" s="309"/>
      <c r="D5" s="310"/>
      <c r="E5" s="310"/>
    </row>
    <row r="6" spans="1:5" ht="14.25" customHeight="1">
      <c r="A6" s="311" t="s">
        <v>385</v>
      </c>
      <c r="B6" s="311"/>
      <c r="C6" s="311"/>
      <c r="D6" s="312"/>
      <c r="E6" s="312"/>
    </row>
    <row r="7" spans="1:5" ht="14.25" customHeight="1">
      <c r="A7" s="74"/>
      <c r="B7" s="74"/>
      <c r="C7" s="74"/>
      <c r="D7" s="146"/>
      <c r="E7" s="146"/>
    </row>
    <row r="8" spans="1:5" ht="14.25" customHeight="1" thickBot="1">
      <c r="A8" s="74"/>
      <c r="B8" s="74"/>
      <c r="C8" s="74"/>
      <c r="D8" s="147"/>
      <c r="E8" s="147" t="s">
        <v>317</v>
      </c>
    </row>
    <row r="9" spans="1:5" ht="13.5" customHeight="1" thickBot="1">
      <c r="A9" s="316" t="s">
        <v>132</v>
      </c>
      <c r="B9" s="316" t="s">
        <v>62</v>
      </c>
      <c r="C9" s="319" t="s">
        <v>319</v>
      </c>
      <c r="D9" s="321" t="s">
        <v>313</v>
      </c>
      <c r="E9" s="322"/>
    </row>
    <row r="10" spans="1:5" ht="13.5" thickBot="1">
      <c r="A10" s="317"/>
      <c r="B10" s="317"/>
      <c r="C10" s="320"/>
      <c r="D10" s="77" t="s">
        <v>366</v>
      </c>
      <c r="E10" s="73" t="s">
        <v>386</v>
      </c>
    </row>
    <row r="11" spans="1:5" ht="32.25" customHeight="1" thickBot="1">
      <c r="A11" s="63" t="s">
        <v>228</v>
      </c>
      <c r="B11" s="58" t="s">
        <v>229</v>
      </c>
      <c r="C11" s="263">
        <f>C13+C14</f>
        <v>5867172.76</v>
      </c>
      <c r="D11" s="263">
        <f>D13+D14</f>
        <v>204595</v>
      </c>
      <c r="E11" s="263">
        <f>E13+E14</f>
        <v>208235</v>
      </c>
    </row>
    <row r="12" spans="1:5" ht="26.25" thickBot="1">
      <c r="A12" s="62" t="s">
        <v>226</v>
      </c>
      <c r="B12" s="58" t="s">
        <v>426</v>
      </c>
      <c r="C12" s="264">
        <v>0</v>
      </c>
      <c r="D12" s="264">
        <v>0</v>
      </c>
      <c r="E12" s="264">
        <v>0</v>
      </c>
    </row>
    <row r="13" spans="1:5" ht="26.25" thickBot="1">
      <c r="A13" s="62" t="s">
        <v>227</v>
      </c>
      <c r="B13" s="58" t="s">
        <v>427</v>
      </c>
      <c r="C13" s="264">
        <f>Прилож1!D33*5%</f>
        <v>203860</v>
      </c>
      <c r="D13" s="264">
        <f>Прилож1!E51</f>
        <v>204595</v>
      </c>
      <c r="E13" s="264">
        <f>Прилож1!F51</f>
        <v>208235</v>
      </c>
    </row>
    <row r="14" spans="1:5" ht="26.25" thickBot="1">
      <c r="A14" s="137" t="s">
        <v>139</v>
      </c>
      <c r="B14" s="138" t="s">
        <v>133</v>
      </c>
      <c r="C14" s="265">
        <v>5663312.76</v>
      </c>
      <c r="D14" s="265">
        <v>0</v>
      </c>
      <c r="E14" s="265">
        <v>0</v>
      </c>
    </row>
    <row r="15" spans="1:5" ht="13.5" thickBot="1">
      <c r="A15" s="139" t="s">
        <v>135</v>
      </c>
      <c r="B15" s="138" t="s">
        <v>373</v>
      </c>
      <c r="C15" s="265">
        <f aca="true" t="shared" si="0" ref="C15:E16">C16</f>
        <v>-19531016.9</v>
      </c>
      <c r="D15" s="265">
        <f t="shared" si="0"/>
        <v>-14079200</v>
      </c>
      <c r="E15" s="265">
        <f t="shared" si="0"/>
        <v>-13975700</v>
      </c>
    </row>
    <row r="16" spans="1:5" ht="13.5" thickBot="1">
      <c r="A16" s="139" t="s">
        <v>140</v>
      </c>
      <c r="B16" s="138" t="s">
        <v>374</v>
      </c>
      <c r="C16" s="265">
        <f t="shared" si="0"/>
        <v>-19531016.9</v>
      </c>
      <c r="D16" s="265">
        <f t="shared" si="0"/>
        <v>-14079200</v>
      </c>
      <c r="E16" s="265">
        <f t="shared" si="0"/>
        <v>-13975700</v>
      </c>
    </row>
    <row r="17" spans="1:5" ht="26.25" thickBot="1">
      <c r="A17" s="140" t="s">
        <v>141</v>
      </c>
      <c r="B17" s="141" t="s">
        <v>375</v>
      </c>
      <c r="C17" s="265">
        <f>-Прилож1!D50</f>
        <v>-19531016.9</v>
      </c>
      <c r="D17" s="265">
        <f>-Прилож1!E50</f>
        <v>-14079200</v>
      </c>
      <c r="E17" s="265">
        <f>-Прилож1!F50</f>
        <v>-13975700</v>
      </c>
    </row>
    <row r="18" spans="1:5" ht="13.5" thickBot="1">
      <c r="A18" s="139" t="s">
        <v>134</v>
      </c>
      <c r="B18" s="138" t="s">
        <v>376</v>
      </c>
      <c r="C18" s="265">
        <f aca="true" t="shared" si="1" ref="C18:E19">C19</f>
        <v>25398189.6648</v>
      </c>
      <c r="D18" s="265">
        <f t="shared" si="1"/>
        <v>14283795.2496</v>
      </c>
      <c r="E18" s="265">
        <f>E19</f>
        <v>14183934.9996</v>
      </c>
    </row>
    <row r="19" spans="1:5" ht="13.5" thickBot="1">
      <c r="A19" s="139" t="s">
        <v>142</v>
      </c>
      <c r="B19" s="138" t="s">
        <v>377</v>
      </c>
      <c r="C19" s="265">
        <f t="shared" si="1"/>
        <v>25398189.6648</v>
      </c>
      <c r="D19" s="265">
        <f t="shared" si="1"/>
        <v>14283795.2496</v>
      </c>
      <c r="E19" s="265">
        <f t="shared" si="1"/>
        <v>14183934.9996</v>
      </c>
    </row>
    <row r="20" spans="1:5" ht="26.25" thickBot="1">
      <c r="A20" s="139" t="s">
        <v>143</v>
      </c>
      <c r="B20" s="138" t="s">
        <v>378</v>
      </c>
      <c r="C20" s="265">
        <f>Прилож4!I294</f>
        <v>25398189.6648</v>
      </c>
      <c r="D20" s="265">
        <f>Прилож4!J294</f>
        <v>14283795.2496</v>
      </c>
      <c r="E20" s="265">
        <f>Прилож4!K294</f>
        <v>14183934.9996</v>
      </c>
    </row>
    <row r="21" spans="1:3" ht="12.75">
      <c r="A21" s="44"/>
      <c r="B21" s="53"/>
      <c r="C21" s="53"/>
    </row>
    <row r="22" spans="1:3" ht="12.75">
      <c r="A22" s="314"/>
      <c r="B22" s="314"/>
      <c r="C22" s="315"/>
    </row>
  </sheetData>
  <sheetProtection/>
  <mergeCells count="10">
    <mergeCell ref="A5:E5"/>
    <mergeCell ref="A6:E6"/>
    <mergeCell ref="A2:E2"/>
    <mergeCell ref="A22:C22"/>
    <mergeCell ref="B9:B10"/>
    <mergeCell ref="A9:A10"/>
    <mergeCell ref="A4:C4"/>
    <mergeCell ref="C9:C10"/>
    <mergeCell ref="B3:E3"/>
    <mergeCell ref="D9:E9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9.75390625" style="0" customWidth="1"/>
    <col min="2" max="2" width="14.875" style="0" customWidth="1"/>
    <col min="3" max="3" width="15.25390625" style="0" customWidth="1"/>
    <col min="4" max="4" width="18.75390625" style="0" customWidth="1"/>
  </cols>
  <sheetData>
    <row r="1" spans="1:4" ht="12.75">
      <c r="A1" s="55"/>
      <c r="B1" s="326" t="s">
        <v>436</v>
      </c>
      <c r="C1" s="327"/>
      <c r="D1" s="327"/>
    </row>
    <row r="2" spans="1:4" ht="66.75" customHeight="1">
      <c r="A2" s="79"/>
      <c r="B2" s="328" t="str">
        <f>прилож5!D3</f>
        <v>к проекту решению Думы МО "Гаханское" от "__" _______ 2020 г. №___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v>
      </c>
      <c r="C2" s="328"/>
      <c r="D2" s="328"/>
    </row>
    <row r="3" spans="1:4" ht="13.5">
      <c r="A3" s="78"/>
      <c r="B3" s="78"/>
      <c r="C3" s="71"/>
      <c r="D3" s="71"/>
    </row>
    <row r="4" spans="1:4" ht="36" customHeight="1">
      <c r="A4" s="329" t="s">
        <v>421</v>
      </c>
      <c r="B4" s="329"/>
      <c r="C4" s="294"/>
      <c r="D4" s="294"/>
    </row>
    <row r="5" spans="1:4" ht="13.5">
      <c r="A5" s="330" t="s">
        <v>408</v>
      </c>
      <c r="B5" s="330"/>
      <c r="C5" s="331"/>
      <c r="D5" s="331"/>
    </row>
    <row r="6" spans="1:4" ht="13.5">
      <c r="A6" s="86"/>
      <c r="B6" s="86"/>
      <c r="C6" s="76"/>
      <c r="D6" s="76"/>
    </row>
    <row r="7" spans="1:4" ht="14.25" thickBot="1">
      <c r="A7" s="86"/>
      <c r="B7" s="86"/>
      <c r="C7" s="75"/>
      <c r="D7" s="127" t="s">
        <v>113</v>
      </c>
    </row>
    <row r="8" spans="1:4" ht="12.75" customHeight="1" thickBot="1">
      <c r="A8" s="332" t="s">
        <v>31</v>
      </c>
      <c r="B8" s="334" t="s">
        <v>387</v>
      </c>
      <c r="C8" s="323" t="s">
        <v>313</v>
      </c>
      <c r="D8" s="324"/>
    </row>
    <row r="9" spans="1:4" ht="27.75" thickBot="1">
      <c r="A9" s="333"/>
      <c r="B9" s="335"/>
      <c r="C9" s="88" t="s">
        <v>372</v>
      </c>
      <c r="D9" s="89" t="s">
        <v>388</v>
      </c>
    </row>
    <row r="10" spans="1:4" ht="13.5">
      <c r="A10" s="80" t="s">
        <v>208</v>
      </c>
      <c r="B10" s="81">
        <v>0</v>
      </c>
      <c r="C10" s="81">
        <v>0</v>
      </c>
      <c r="D10" s="81">
        <v>0</v>
      </c>
    </row>
    <row r="11" spans="1:4" ht="13.5">
      <c r="A11" s="82" t="s">
        <v>209</v>
      </c>
      <c r="B11" s="83">
        <v>0</v>
      </c>
      <c r="C11" s="83">
        <v>0</v>
      </c>
      <c r="D11" s="83">
        <v>0</v>
      </c>
    </row>
    <row r="12" spans="1:4" ht="13.5">
      <c r="A12" s="82" t="s">
        <v>210</v>
      </c>
      <c r="B12" s="83">
        <v>0</v>
      </c>
      <c r="C12" s="83">
        <v>0</v>
      </c>
      <c r="D12" s="83">
        <v>0</v>
      </c>
    </row>
    <row r="13" spans="1:8" ht="13.5">
      <c r="A13" s="82" t="s">
        <v>211</v>
      </c>
      <c r="B13" s="83">
        <v>0</v>
      </c>
      <c r="C13" s="83">
        <v>0</v>
      </c>
      <c r="D13" s="83">
        <v>0</v>
      </c>
      <c r="H13" t="s">
        <v>307</v>
      </c>
    </row>
    <row r="14" spans="1:4" ht="14.25" thickBot="1">
      <c r="A14" s="84" t="s">
        <v>212</v>
      </c>
      <c r="B14" s="85">
        <v>0</v>
      </c>
      <c r="C14" s="85">
        <v>0</v>
      </c>
      <c r="D14" s="85">
        <v>0</v>
      </c>
    </row>
    <row r="15" spans="1:4" ht="13.5">
      <c r="A15" s="86"/>
      <c r="B15" s="87"/>
      <c r="C15" s="71"/>
      <c r="D15" s="71"/>
    </row>
    <row r="16" spans="1:4" ht="13.5">
      <c r="A16" s="71"/>
      <c r="B16" s="71"/>
      <c r="C16" s="71"/>
      <c r="D16" s="71"/>
    </row>
    <row r="17" spans="1:4" ht="15.75" customHeight="1">
      <c r="A17" s="325"/>
      <c r="B17" s="325"/>
      <c r="C17" s="325"/>
      <c r="D17" s="325"/>
    </row>
  </sheetData>
  <sheetProtection/>
  <mergeCells count="8">
    <mergeCell ref="C8:D8"/>
    <mergeCell ref="A17:D17"/>
    <mergeCell ref="B1:D1"/>
    <mergeCell ref="B2:D2"/>
    <mergeCell ref="A4:D4"/>
    <mergeCell ref="A5:D5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213</v>
      </c>
    </row>
    <row r="2" ht="12.75">
      <c r="D2" s="43"/>
    </row>
    <row r="3" ht="43.5" customHeight="1">
      <c r="D3" s="61" t="str">
        <f>прилож2!C2</f>
        <v>к проекту решению Думы МО "Гаханское" от "__" _______ 2020 г. №___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v>
      </c>
    </row>
    <row r="4" spans="1:4" ht="60" customHeight="1" thickBot="1">
      <c r="A4" s="336" t="s">
        <v>409</v>
      </c>
      <c r="B4" s="337"/>
      <c r="C4" s="337"/>
      <c r="D4" s="337"/>
    </row>
    <row r="5" spans="1:4" ht="59.25" customHeight="1" thickBot="1">
      <c r="A5" s="206" t="s">
        <v>224</v>
      </c>
      <c r="B5" s="136" t="s">
        <v>225</v>
      </c>
      <c r="C5" s="121" t="s">
        <v>65</v>
      </c>
      <c r="D5" s="120" t="s">
        <v>31</v>
      </c>
    </row>
    <row r="6" spans="1:4" ht="33" customHeight="1" thickBot="1">
      <c r="A6" s="338" t="s">
        <v>348</v>
      </c>
      <c r="B6" s="341" t="s">
        <v>346</v>
      </c>
      <c r="C6" s="122" t="s">
        <v>133</v>
      </c>
      <c r="D6" s="123" t="s">
        <v>139</v>
      </c>
    </row>
    <row r="7" spans="1:4" ht="27" customHeight="1" thickBot="1">
      <c r="A7" s="339"/>
      <c r="B7" s="342"/>
      <c r="C7" s="122" t="s">
        <v>373</v>
      </c>
      <c r="D7" s="123" t="s">
        <v>135</v>
      </c>
    </row>
    <row r="8" spans="1:4" ht="30.75" thickBot="1">
      <c r="A8" s="339"/>
      <c r="B8" s="342"/>
      <c r="C8" s="122" t="s">
        <v>374</v>
      </c>
      <c r="D8" s="123" t="s">
        <v>140</v>
      </c>
    </row>
    <row r="9" spans="1:4" ht="28.5" customHeight="1" thickBot="1">
      <c r="A9" s="339"/>
      <c r="B9" s="342"/>
      <c r="C9" s="124" t="s">
        <v>375</v>
      </c>
      <c r="D9" s="125" t="s">
        <v>141</v>
      </c>
    </row>
    <row r="10" spans="1:4" ht="18.75" customHeight="1" thickBot="1">
      <c r="A10" s="339"/>
      <c r="B10" s="342"/>
      <c r="C10" s="122" t="s">
        <v>376</v>
      </c>
      <c r="D10" s="123" t="s">
        <v>134</v>
      </c>
    </row>
    <row r="11" spans="1:4" ht="30.75" thickBot="1">
      <c r="A11" s="339"/>
      <c r="B11" s="342"/>
      <c r="C11" s="122" t="s">
        <v>377</v>
      </c>
      <c r="D11" s="123" t="s">
        <v>142</v>
      </c>
    </row>
    <row r="12" spans="1:4" ht="30.75" customHeight="1" thickBot="1">
      <c r="A12" s="340"/>
      <c r="B12" s="343"/>
      <c r="C12" s="122" t="s">
        <v>378</v>
      </c>
      <c r="D12" s="123" t="s">
        <v>143</v>
      </c>
    </row>
    <row r="13" spans="1:4" ht="15">
      <c r="A13" s="72"/>
      <c r="B13" s="72"/>
      <c r="C13" s="72"/>
      <c r="D13" s="126"/>
    </row>
    <row r="14" spans="1:4" ht="15">
      <c r="A14" s="344"/>
      <c r="B14" s="344"/>
      <c r="C14" s="344"/>
      <c r="D14" s="344"/>
    </row>
  </sheetData>
  <sheetProtection/>
  <mergeCells count="4">
    <mergeCell ref="A4:D4"/>
    <mergeCell ref="A6:A12"/>
    <mergeCell ref="B6:B12"/>
    <mergeCell ref="A14:D1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22">
      <selection activeCell="B18" sqref="B18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7"/>
      <c r="B1" s="57"/>
      <c r="C1" s="59" t="s">
        <v>171</v>
      </c>
    </row>
    <row r="2" spans="1:4" ht="51.75" customHeight="1">
      <c r="A2" s="54"/>
      <c r="B2" s="56"/>
      <c r="C2" s="54" t="str">
        <f>Прилож1!C4</f>
        <v>к проекту решению Думы МО "Гаханское" от "__" _______ 2020 г. №___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v>
      </c>
      <c r="D2" s="60"/>
    </row>
    <row r="3" spans="1:3" ht="47.25" customHeight="1" thickBot="1">
      <c r="A3" s="345" t="s">
        <v>412</v>
      </c>
      <c r="B3" s="345"/>
      <c r="C3" s="345"/>
    </row>
    <row r="4" spans="1:3" ht="39.75" customHeight="1" thickBot="1">
      <c r="A4" s="346" t="s">
        <v>214</v>
      </c>
      <c r="B4" s="346"/>
      <c r="C4" s="347" t="s">
        <v>215</v>
      </c>
    </row>
    <row r="5" spans="1:3" ht="51" customHeight="1" thickBot="1">
      <c r="A5" s="207" t="s">
        <v>216</v>
      </c>
      <c r="B5" s="117" t="s">
        <v>217</v>
      </c>
      <c r="C5" s="348"/>
    </row>
    <row r="6" spans="1:3" ht="32.25" thickBot="1">
      <c r="A6" s="118" t="s">
        <v>347</v>
      </c>
      <c r="B6" s="117"/>
      <c r="C6" s="119" t="s">
        <v>345</v>
      </c>
    </row>
    <row r="7" spans="1:3" ht="68.25" thickBot="1">
      <c r="A7" s="197" t="s">
        <v>347</v>
      </c>
      <c r="B7" s="120" t="s">
        <v>413</v>
      </c>
      <c r="C7" s="198" t="s">
        <v>414</v>
      </c>
    </row>
    <row r="8" spans="1:3" ht="35.25" customHeight="1" thickBot="1">
      <c r="A8" s="197" t="s">
        <v>347</v>
      </c>
      <c r="B8" s="120" t="s">
        <v>222</v>
      </c>
      <c r="C8" s="199" t="s">
        <v>223</v>
      </c>
    </row>
    <row r="9" spans="1:3" ht="30.75" thickBot="1">
      <c r="A9" s="200">
        <v>250</v>
      </c>
      <c r="B9" s="201" t="s">
        <v>329</v>
      </c>
      <c r="C9" s="199" t="s">
        <v>219</v>
      </c>
    </row>
    <row r="10" spans="1:3" ht="21" customHeight="1" thickBot="1">
      <c r="A10" s="200">
        <v>250</v>
      </c>
      <c r="B10" s="201" t="s">
        <v>330</v>
      </c>
      <c r="C10" s="199" t="s">
        <v>220</v>
      </c>
    </row>
    <row r="11" spans="1:3" ht="32.25" thickBot="1">
      <c r="A11" s="202" t="s">
        <v>348</v>
      </c>
      <c r="B11" s="120"/>
      <c r="C11" s="119" t="s">
        <v>346</v>
      </c>
    </row>
    <row r="12" spans="1:3" ht="30.75" thickBot="1">
      <c r="A12" s="203" t="s">
        <v>348</v>
      </c>
      <c r="B12" s="201" t="s">
        <v>218</v>
      </c>
      <c r="C12" s="199" t="s">
        <v>219</v>
      </c>
    </row>
    <row r="13" spans="1:3" ht="30.75" thickBot="1">
      <c r="A13" s="203" t="s">
        <v>348</v>
      </c>
      <c r="B13" s="201" t="s">
        <v>367</v>
      </c>
      <c r="C13" s="199" t="s">
        <v>314</v>
      </c>
    </row>
    <row r="14" spans="1:3" ht="49.5" customHeight="1" thickBot="1">
      <c r="A14" s="203" t="s">
        <v>348</v>
      </c>
      <c r="B14" s="201" t="s">
        <v>368</v>
      </c>
      <c r="C14" s="204" t="s">
        <v>308</v>
      </c>
    </row>
    <row r="15" spans="1:3" ht="36" customHeight="1" thickBot="1">
      <c r="A15" s="203" t="s">
        <v>348</v>
      </c>
      <c r="B15" s="201" t="s">
        <v>369</v>
      </c>
      <c r="C15" s="205" t="s">
        <v>309</v>
      </c>
    </row>
    <row r="16" spans="1:3" ht="50.25" customHeight="1" thickBot="1">
      <c r="A16" s="203" t="s">
        <v>348</v>
      </c>
      <c r="B16" s="201" t="s">
        <v>425</v>
      </c>
      <c r="C16" s="199" t="s">
        <v>423</v>
      </c>
    </row>
    <row r="17" spans="1:3" ht="50.25" customHeight="1" thickBot="1">
      <c r="A17" s="203" t="s">
        <v>348</v>
      </c>
      <c r="B17" s="201" t="s">
        <v>440</v>
      </c>
      <c r="C17" s="199" t="s">
        <v>439</v>
      </c>
    </row>
    <row r="18" spans="1:3" ht="63" customHeight="1" thickBot="1">
      <c r="A18" s="203" t="s">
        <v>348</v>
      </c>
      <c r="B18" s="201" t="s">
        <v>370</v>
      </c>
      <c r="C18" s="199" t="s">
        <v>310</v>
      </c>
    </row>
    <row r="19" spans="1:3" ht="54" customHeight="1" thickBot="1">
      <c r="A19" s="203" t="s">
        <v>348</v>
      </c>
      <c r="B19" s="262" t="s">
        <v>416</v>
      </c>
      <c r="C19" s="196" t="s">
        <v>311</v>
      </c>
    </row>
    <row r="20" spans="1:3" ht="35.25" customHeight="1" thickBot="1">
      <c r="A20" s="203" t="s">
        <v>348</v>
      </c>
      <c r="B20" s="201" t="s">
        <v>371</v>
      </c>
      <c r="C20" s="205" t="s">
        <v>312</v>
      </c>
    </row>
    <row r="21" spans="1:3" ht="117.75" customHeight="1" thickBot="1">
      <c r="A21" s="203" t="s">
        <v>348</v>
      </c>
      <c r="B21" s="262" t="s">
        <v>415</v>
      </c>
      <c r="C21" s="199" t="s">
        <v>221</v>
      </c>
    </row>
    <row r="22" spans="1:3" ht="15">
      <c r="A22" s="349"/>
      <c r="B22" s="349"/>
      <c r="C22" s="349"/>
    </row>
    <row r="23" spans="1:3" ht="15">
      <c r="A23" s="72"/>
      <c r="B23" s="72"/>
      <c r="C23" s="72"/>
    </row>
    <row r="24" spans="1:3" ht="15">
      <c r="A24" s="72"/>
      <c r="B24" s="72"/>
      <c r="C24" s="72"/>
    </row>
  </sheetData>
  <sheetProtection/>
  <mergeCells count="4">
    <mergeCell ref="A3:C3"/>
    <mergeCell ref="A4:B4"/>
    <mergeCell ref="C4:C5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34">
      <selection activeCell="G41" sqref="G41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6.25390625" style="0" customWidth="1"/>
    <col min="5" max="5" width="16.625" style="0" customWidth="1"/>
    <col min="6" max="6" width="16.75390625" style="0" customWidth="1"/>
    <col min="7" max="7" width="13.125" style="0" customWidth="1"/>
    <col min="8" max="8" width="26.375" style="0" customWidth="1"/>
  </cols>
  <sheetData>
    <row r="1" spans="1:4" ht="12.75">
      <c r="A1" s="365"/>
      <c r="B1" s="366"/>
      <c r="C1" s="366"/>
      <c r="D1" s="366"/>
    </row>
    <row r="2" spans="1:4" ht="12.75">
      <c r="A2" s="365"/>
      <c r="B2" s="366"/>
      <c r="C2" s="366"/>
      <c r="D2" s="366"/>
    </row>
    <row r="3" spans="1:6" ht="12.75">
      <c r="A3" s="365"/>
      <c r="B3" s="293" t="s">
        <v>170</v>
      </c>
      <c r="C3" s="293"/>
      <c r="D3" s="293"/>
      <c r="E3" s="294"/>
      <c r="F3" s="294"/>
    </row>
    <row r="4" spans="1:6" ht="25.5" customHeight="1">
      <c r="A4" s="45"/>
      <c r="B4" s="42"/>
      <c r="C4" s="293" t="s">
        <v>437</v>
      </c>
      <c r="D4" s="357"/>
      <c r="E4" s="294"/>
      <c r="F4" s="294"/>
    </row>
    <row r="5" spans="1:6" ht="23.25" customHeight="1">
      <c r="A5" s="358" t="s">
        <v>424</v>
      </c>
      <c r="B5" s="358"/>
      <c r="C5" s="358"/>
      <c r="D5" s="358"/>
      <c r="E5" s="329"/>
      <c r="F5" s="329"/>
    </row>
    <row r="6" spans="1:6" ht="23.25" customHeight="1">
      <c r="A6" s="143"/>
      <c r="B6" s="143"/>
      <c r="C6" s="143"/>
      <c r="D6" s="143"/>
      <c r="E6" s="142"/>
      <c r="F6" s="142"/>
    </row>
    <row r="7" spans="1:6" ht="14.25" thickBot="1">
      <c r="A7" s="369"/>
      <c r="B7" s="369"/>
      <c r="C7" s="90"/>
      <c r="D7" s="356" t="s">
        <v>113</v>
      </c>
      <c r="E7" s="356"/>
      <c r="F7" s="356"/>
    </row>
    <row r="8" spans="1:6" ht="14.25" thickBot="1">
      <c r="A8" s="370" t="s">
        <v>65</v>
      </c>
      <c r="B8" s="371"/>
      <c r="C8" s="374" t="s">
        <v>150</v>
      </c>
      <c r="D8" s="376" t="s">
        <v>411</v>
      </c>
      <c r="E8" s="359" t="s">
        <v>313</v>
      </c>
      <c r="F8" s="360"/>
    </row>
    <row r="9" spans="1:6" ht="14.25" thickBot="1">
      <c r="A9" s="372"/>
      <c r="B9" s="373"/>
      <c r="C9" s="375"/>
      <c r="D9" s="377"/>
      <c r="E9" s="218" t="s">
        <v>366</v>
      </c>
      <c r="F9" s="219" t="s">
        <v>386</v>
      </c>
    </row>
    <row r="10" spans="1:6" ht="18" customHeight="1" thickBot="1">
      <c r="A10" s="367" t="s">
        <v>48</v>
      </c>
      <c r="B10" s="368"/>
      <c r="C10" s="91" t="s">
        <v>49</v>
      </c>
      <c r="D10" s="229">
        <f>SUM(D12+D22+D20+D15+D29)</f>
        <v>4077200</v>
      </c>
      <c r="E10" s="229">
        <f>SUM(E12+E22+E20+E15+E29)</f>
        <v>4091900</v>
      </c>
      <c r="F10" s="230">
        <f>SUM(F12+F22+F20+F15+F29)</f>
        <v>4164700</v>
      </c>
    </row>
    <row r="11" spans="1:6" ht="15.75" customHeight="1" thickBot="1">
      <c r="A11" s="352" t="s">
        <v>50</v>
      </c>
      <c r="B11" s="353"/>
      <c r="C11" s="94" t="s">
        <v>155</v>
      </c>
      <c r="D11" s="223">
        <f aca="true" t="shared" si="0" ref="D11:F13">SUM(D12)</f>
        <v>2300000</v>
      </c>
      <c r="E11" s="223">
        <f t="shared" si="0"/>
        <v>2300000</v>
      </c>
      <c r="F11" s="225">
        <f t="shared" si="0"/>
        <v>2300000</v>
      </c>
    </row>
    <row r="12" spans="1:6" ht="17.25" customHeight="1" thickBot="1">
      <c r="A12" s="352" t="s">
        <v>52</v>
      </c>
      <c r="B12" s="353"/>
      <c r="C12" s="95" t="s">
        <v>51</v>
      </c>
      <c r="D12" s="223">
        <f t="shared" si="0"/>
        <v>2300000</v>
      </c>
      <c r="E12" s="223">
        <f t="shared" si="0"/>
        <v>2300000</v>
      </c>
      <c r="F12" s="231">
        <f t="shared" si="0"/>
        <v>2300000</v>
      </c>
    </row>
    <row r="13" spans="1:8" ht="17.25" customHeight="1" thickBot="1">
      <c r="A13" s="352" t="s">
        <v>53</v>
      </c>
      <c r="B13" s="353"/>
      <c r="C13" s="95" t="s">
        <v>54</v>
      </c>
      <c r="D13" s="223">
        <f t="shared" si="0"/>
        <v>2300000</v>
      </c>
      <c r="E13" s="223">
        <f t="shared" si="0"/>
        <v>2300000</v>
      </c>
      <c r="F13" s="231">
        <f t="shared" si="0"/>
        <v>2300000</v>
      </c>
      <c r="G13" s="386"/>
      <c r="H13" s="294"/>
    </row>
    <row r="14" spans="1:8" ht="39.75" customHeight="1" thickBot="1">
      <c r="A14" s="352" t="s">
        <v>154</v>
      </c>
      <c r="B14" s="353"/>
      <c r="C14" s="115" t="s">
        <v>318</v>
      </c>
      <c r="D14" s="232">
        <v>2300000</v>
      </c>
      <c r="E14" s="233">
        <v>2300000</v>
      </c>
      <c r="F14" s="234">
        <v>2300000</v>
      </c>
      <c r="G14" s="387"/>
      <c r="H14" s="294"/>
    </row>
    <row r="15" spans="1:8" ht="36.75" customHeight="1" thickBot="1">
      <c r="A15" s="96" t="s">
        <v>379</v>
      </c>
      <c r="B15" s="97"/>
      <c r="C15" s="116" t="s">
        <v>190</v>
      </c>
      <c r="D15" s="235">
        <f>SUM(D16:D19)</f>
        <v>1497200</v>
      </c>
      <c r="E15" s="235">
        <f>SUM(E16:E19)</f>
        <v>1511900</v>
      </c>
      <c r="F15" s="236">
        <f>SUM(F16:F19)</f>
        <v>1584700</v>
      </c>
      <c r="G15" s="51"/>
      <c r="H15" s="52"/>
    </row>
    <row r="16" spans="1:8" ht="53.25" customHeight="1" thickBot="1">
      <c r="A16" s="98" t="s">
        <v>175</v>
      </c>
      <c r="B16" s="99"/>
      <c r="C16" s="100" t="s">
        <v>185</v>
      </c>
      <c r="D16" s="189">
        <f>682723</f>
        <v>682723</v>
      </c>
      <c r="E16" s="237">
        <v>695474</v>
      </c>
      <c r="F16" s="238">
        <v>728962</v>
      </c>
      <c r="G16" s="51"/>
      <c r="H16" s="52"/>
    </row>
    <row r="17" spans="1:8" ht="65.25" customHeight="1" thickBot="1">
      <c r="A17" s="101" t="s">
        <v>176</v>
      </c>
      <c r="B17" s="102"/>
      <c r="C17" s="103" t="s">
        <v>186</v>
      </c>
      <c r="D17" s="187">
        <f>2995</f>
        <v>2995</v>
      </c>
      <c r="E17" s="239">
        <v>3024</v>
      </c>
      <c r="F17" s="188">
        <v>3170</v>
      </c>
      <c r="G17" s="51"/>
      <c r="H17" s="52"/>
    </row>
    <row r="18" spans="1:8" ht="67.5" customHeight="1" thickBot="1">
      <c r="A18" s="101" t="s">
        <v>177</v>
      </c>
      <c r="B18" s="102"/>
      <c r="C18" s="103" t="s">
        <v>188</v>
      </c>
      <c r="D18" s="187">
        <f>811482</f>
        <v>811482</v>
      </c>
      <c r="E18" s="233">
        <v>813402</v>
      </c>
      <c r="F18" s="240">
        <v>852568</v>
      </c>
      <c r="G18" s="51"/>
      <c r="H18" s="52"/>
    </row>
    <row r="19" spans="1:8" ht="39.75" customHeight="1" thickBot="1">
      <c r="A19" s="101" t="s">
        <v>178</v>
      </c>
      <c r="B19" s="102"/>
      <c r="C19" s="103" t="s">
        <v>187</v>
      </c>
      <c r="D19" s="187">
        <v>0</v>
      </c>
      <c r="E19" s="239">
        <v>0</v>
      </c>
      <c r="F19" s="188">
        <v>0</v>
      </c>
      <c r="G19" s="51"/>
      <c r="H19" s="52"/>
    </row>
    <row r="20" spans="1:6" ht="14.25" thickBot="1">
      <c r="A20" s="352" t="s">
        <v>123</v>
      </c>
      <c r="B20" s="353"/>
      <c r="C20" s="95" t="s">
        <v>131</v>
      </c>
      <c r="D20" s="223">
        <f>D21</f>
        <v>30000</v>
      </c>
      <c r="E20" s="223">
        <f>E21</f>
        <v>30000</v>
      </c>
      <c r="F20" s="225">
        <f>F21</f>
        <v>30000</v>
      </c>
    </row>
    <row r="21" spans="1:6" ht="15.75" customHeight="1" thickBot="1">
      <c r="A21" s="92" t="s">
        <v>144</v>
      </c>
      <c r="B21" s="93"/>
      <c r="C21" s="105" t="s">
        <v>124</v>
      </c>
      <c r="D21" s="241">
        <v>30000</v>
      </c>
      <c r="E21" s="239">
        <v>30000</v>
      </c>
      <c r="F21" s="188">
        <v>30000</v>
      </c>
    </row>
    <row r="22" spans="1:6" ht="14.25" thickBot="1">
      <c r="A22" s="352" t="s">
        <v>55</v>
      </c>
      <c r="B22" s="353"/>
      <c r="C22" s="95" t="s">
        <v>56</v>
      </c>
      <c r="D22" s="223">
        <f>SUM(D23+D25)</f>
        <v>250000</v>
      </c>
      <c r="E22" s="224">
        <f>SUM(E23+E25)</f>
        <v>250000</v>
      </c>
      <c r="F22" s="225">
        <f>SUM(F23+F25)</f>
        <v>250000</v>
      </c>
    </row>
    <row r="23" spans="1:8" ht="14.25" thickBot="1">
      <c r="A23" s="352" t="s">
        <v>115</v>
      </c>
      <c r="B23" s="353"/>
      <c r="C23" s="95" t="s">
        <v>116</v>
      </c>
      <c r="D23" s="223">
        <f>D24</f>
        <v>55000</v>
      </c>
      <c r="E23" s="223">
        <f>E24</f>
        <v>55000</v>
      </c>
      <c r="F23" s="231">
        <f>F24</f>
        <v>55000</v>
      </c>
      <c r="G23" s="388"/>
      <c r="H23" s="389"/>
    </row>
    <row r="24" spans="1:8" ht="44.25" customHeight="1" thickBot="1">
      <c r="A24" s="354" t="s">
        <v>81</v>
      </c>
      <c r="B24" s="355"/>
      <c r="C24" s="107" t="s">
        <v>145</v>
      </c>
      <c r="D24" s="187">
        <v>55000</v>
      </c>
      <c r="E24" s="242">
        <v>55000</v>
      </c>
      <c r="F24" s="243">
        <v>55000</v>
      </c>
      <c r="G24" s="387"/>
      <c r="H24" s="294"/>
    </row>
    <row r="25" spans="1:6" ht="14.25" thickBot="1">
      <c r="A25" s="352" t="s">
        <v>57</v>
      </c>
      <c r="B25" s="353"/>
      <c r="C25" s="95" t="s">
        <v>58</v>
      </c>
      <c r="D25" s="223">
        <f>SUM(D26+D28)</f>
        <v>195000</v>
      </c>
      <c r="E25" s="224">
        <f>SUM(E26+E28)</f>
        <v>195000</v>
      </c>
      <c r="F25" s="225">
        <f>SUM(F26+F28)</f>
        <v>195000</v>
      </c>
    </row>
    <row r="26" spans="1:8" ht="27" customHeight="1" thickBot="1">
      <c r="A26" s="352" t="s">
        <v>117</v>
      </c>
      <c r="B26" s="353"/>
      <c r="C26" s="95" t="s">
        <v>118</v>
      </c>
      <c r="D26" s="187">
        <f>SUM(D27)</f>
        <v>50000</v>
      </c>
      <c r="E26" s="187">
        <f>SUM(E27)</f>
        <v>50000</v>
      </c>
      <c r="F26" s="234">
        <f>SUM(F27)</f>
        <v>50000</v>
      </c>
      <c r="G26" s="387"/>
      <c r="H26" s="294"/>
    </row>
    <row r="27" spans="1:8" ht="54" customHeight="1" thickBot="1">
      <c r="A27" s="354" t="s">
        <v>232</v>
      </c>
      <c r="B27" s="355"/>
      <c r="C27" s="107" t="s">
        <v>119</v>
      </c>
      <c r="D27" s="187">
        <v>50000</v>
      </c>
      <c r="E27" s="239">
        <v>50000</v>
      </c>
      <c r="F27" s="188">
        <v>50000</v>
      </c>
      <c r="G27" s="390"/>
      <c r="H27" s="389"/>
    </row>
    <row r="28" spans="1:8" ht="54" customHeight="1" thickBot="1">
      <c r="A28" s="104" t="s">
        <v>233</v>
      </c>
      <c r="B28" s="106"/>
      <c r="C28" s="107" t="s">
        <v>174</v>
      </c>
      <c r="D28" s="187">
        <f>'[1]2019 план'!$C$57+33000</f>
        <v>145000</v>
      </c>
      <c r="E28" s="188">
        <f>D28</f>
        <v>145000</v>
      </c>
      <c r="F28" s="188">
        <f>E28</f>
        <v>145000</v>
      </c>
      <c r="G28" s="50"/>
      <c r="H28" s="49"/>
    </row>
    <row r="29" spans="1:8" ht="54" customHeight="1" thickBot="1">
      <c r="A29" s="131" t="s">
        <v>322</v>
      </c>
      <c r="B29" s="106"/>
      <c r="C29" s="135" t="s">
        <v>321</v>
      </c>
      <c r="D29" s="187">
        <f aca="true" t="shared" si="1" ref="D29:F31">D30</f>
        <v>0</v>
      </c>
      <c r="E29" s="187">
        <f t="shared" si="1"/>
        <v>0</v>
      </c>
      <c r="F29" s="188">
        <f t="shared" si="1"/>
        <v>0</v>
      </c>
      <c r="G29" s="50"/>
      <c r="H29" s="49"/>
    </row>
    <row r="30" spans="1:8" ht="54" customHeight="1" thickBot="1">
      <c r="A30" s="132" t="s">
        <v>324</v>
      </c>
      <c r="B30" s="106"/>
      <c r="C30" s="178" t="s">
        <v>323</v>
      </c>
      <c r="D30" s="187">
        <f t="shared" si="1"/>
        <v>0</v>
      </c>
      <c r="E30" s="187">
        <f t="shared" si="1"/>
        <v>0</v>
      </c>
      <c r="F30" s="188">
        <f t="shared" si="1"/>
        <v>0</v>
      </c>
      <c r="G30" s="50"/>
      <c r="H30" s="49"/>
    </row>
    <row r="31" spans="1:8" ht="54" customHeight="1" thickBot="1">
      <c r="A31" s="133" t="s">
        <v>326</v>
      </c>
      <c r="B31" s="106"/>
      <c r="C31" s="178" t="s">
        <v>325</v>
      </c>
      <c r="D31" s="187">
        <f t="shared" si="1"/>
        <v>0</v>
      </c>
      <c r="E31" s="187">
        <f t="shared" si="1"/>
        <v>0</v>
      </c>
      <c r="F31" s="188">
        <f t="shared" si="1"/>
        <v>0</v>
      </c>
      <c r="G31" s="50"/>
      <c r="H31" s="49"/>
    </row>
    <row r="32" spans="1:8" ht="69" customHeight="1" thickBot="1">
      <c r="A32" s="134" t="s">
        <v>328</v>
      </c>
      <c r="B32" s="106"/>
      <c r="C32" s="177" t="s">
        <v>327</v>
      </c>
      <c r="D32" s="187">
        <v>0</v>
      </c>
      <c r="E32" s="233">
        <v>0</v>
      </c>
      <c r="F32" s="240">
        <v>0</v>
      </c>
      <c r="G32" s="50"/>
      <c r="H32" s="49"/>
    </row>
    <row r="33" spans="1:6" ht="18" customHeight="1" thickBot="1">
      <c r="A33" s="354"/>
      <c r="B33" s="355"/>
      <c r="C33" s="108" t="s">
        <v>146</v>
      </c>
      <c r="D33" s="226">
        <f>D10</f>
        <v>4077200</v>
      </c>
      <c r="E33" s="227">
        <f>E10</f>
        <v>4091900</v>
      </c>
      <c r="F33" s="228">
        <f>F10</f>
        <v>4164700</v>
      </c>
    </row>
    <row r="34" spans="1:6" ht="18" customHeight="1" thickBot="1">
      <c r="A34" s="352" t="s">
        <v>380</v>
      </c>
      <c r="B34" s="353"/>
      <c r="C34" s="91" t="s">
        <v>59</v>
      </c>
      <c r="D34" s="226">
        <f>SUM(D35)</f>
        <v>15453816.9</v>
      </c>
      <c r="E34" s="227">
        <f>SUM(E35)</f>
        <v>9987300</v>
      </c>
      <c r="F34" s="228">
        <f>SUM(F35)</f>
        <v>9811000</v>
      </c>
    </row>
    <row r="35" spans="1:6" ht="27" customHeight="1" thickBot="1">
      <c r="A35" s="352" t="s">
        <v>381</v>
      </c>
      <c r="B35" s="353"/>
      <c r="C35" s="110" t="s">
        <v>153</v>
      </c>
      <c r="D35" s="223">
        <f>SUM(D36+D39+D43+D48)</f>
        <v>15453816.9</v>
      </c>
      <c r="E35" s="224">
        <f>SUM(E36+E39+E43)</f>
        <v>9987300</v>
      </c>
      <c r="F35" s="225">
        <f>SUM(F36+F39+F43)</f>
        <v>9811000</v>
      </c>
    </row>
    <row r="36" spans="1:6" ht="24" customHeight="1" thickBot="1">
      <c r="A36" s="352" t="s">
        <v>398</v>
      </c>
      <c r="B36" s="353"/>
      <c r="C36" s="95" t="s">
        <v>120</v>
      </c>
      <c r="D36" s="223">
        <f>SUM(D37+D38)</f>
        <v>10807900</v>
      </c>
      <c r="E36" s="223">
        <f>SUM(E37+E38)</f>
        <v>8958700</v>
      </c>
      <c r="F36" s="231">
        <f>SUM(F37+F38)</f>
        <v>8779500</v>
      </c>
    </row>
    <row r="37" spans="1:6" s="221" customFormat="1" ht="32.25" customHeight="1" thickBot="1">
      <c r="A37" s="350" t="s">
        <v>397</v>
      </c>
      <c r="B37" s="351"/>
      <c r="C37" s="220" t="s">
        <v>383</v>
      </c>
      <c r="D37" s="244">
        <v>188000</v>
      </c>
      <c r="E37" s="244">
        <v>0</v>
      </c>
      <c r="F37" s="245">
        <v>0</v>
      </c>
    </row>
    <row r="38" spans="1:6" s="221" customFormat="1" ht="42" customHeight="1" thickBot="1">
      <c r="A38" s="350" t="s">
        <v>397</v>
      </c>
      <c r="B38" s="351"/>
      <c r="C38" s="220" t="s">
        <v>382</v>
      </c>
      <c r="D38" s="246">
        <v>10619900</v>
      </c>
      <c r="E38" s="246">
        <v>8958700</v>
      </c>
      <c r="F38" s="247">
        <v>8779500</v>
      </c>
    </row>
    <row r="39" spans="1:8" s="221" customFormat="1" ht="36.75" customHeight="1" thickBot="1">
      <c r="A39" s="378" t="s">
        <v>399</v>
      </c>
      <c r="B39" s="379"/>
      <c r="C39" s="222" t="s">
        <v>121</v>
      </c>
      <c r="D39" s="248">
        <f>SUM(D40)+D41+D42</f>
        <v>4484616.9</v>
      </c>
      <c r="E39" s="248">
        <f>SUM(E40)+E41+E42</f>
        <v>866700</v>
      </c>
      <c r="F39" s="249">
        <f>SUM(F40)+F41+F42</f>
        <v>866700</v>
      </c>
      <c r="G39" s="382"/>
      <c r="H39" s="383"/>
    </row>
    <row r="40" spans="1:7" ht="29.25" customHeight="1" thickBot="1">
      <c r="A40" s="354" t="s">
        <v>400</v>
      </c>
      <c r="B40" s="355"/>
      <c r="C40" s="107" t="s">
        <v>309</v>
      </c>
      <c r="D40" s="187">
        <v>1614500</v>
      </c>
      <c r="E40" s="239">
        <v>866700</v>
      </c>
      <c r="F40" s="188">
        <v>866700</v>
      </c>
      <c r="G40" s="48"/>
    </row>
    <row r="41" spans="1:7" ht="32.25" customHeight="1" thickBot="1">
      <c r="A41" s="261" t="s">
        <v>422</v>
      </c>
      <c r="B41" s="106"/>
      <c r="C41" s="107" t="s">
        <v>423</v>
      </c>
      <c r="D41" s="187">
        <f>920116.9</f>
        <v>920116.9</v>
      </c>
      <c r="E41" s="239">
        <v>0</v>
      </c>
      <c r="F41" s="188">
        <v>0</v>
      </c>
      <c r="G41" s="48"/>
    </row>
    <row r="42" spans="1:7" ht="32.25" customHeight="1" thickBot="1">
      <c r="A42" s="261" t="s">
        <v>438</v>
      </c>
      <c r="B42" s="106"/>
      <c r="C42" s="107" t="s">
        <v>439</v>
      </c>
      <c r="D42" s="187">
        <v>1950000</v>
      </c>
      <c r="E42" s="239">
        <v>0</v>
      </c>
      <c r="F42" s="188">
        <v>0</v>
      </c>
      <c r="G42" s="48"/>
    </row>
    <row r="43" spans="1:6" ht="26.25" customHeight="1" thickBot="1">
      <c r="A43" s="352" t="s">
        <v>401</v>
      </c>
      <c r="B43" s="353"/>
      <c r="C43" s="109" t="s">
        <v>315</v>
      </c>
      <c r="D43" s="250">
        <f>SUM(D44+D46)</f>
        <v>161300</v>
      </c>
      <c r="E43" s="250">
        <f>SUM(E44+E46)</f>
        <v>161900</v>
      </c>
      <c r="F43" s="251">
        <f>SUM(F44+F46)</f>
        <v>164800</v>
      </c>
    </row>
    <row r="44" spans="1:6" ht="40.5" customHeight="1" thickBot="1">
      <c r="A44" s="352" t="s">
        <v>402</v>
      </c>
      <c r="B44" s="353"/>
      <c r="C44" s="109" t="s">
        <v>152</v>
      </c>
      <c r="D44" s="250">
        <f>SUM(D45)</f>
        <v>125600</v>
      </c>
      <c r="E44" s="250">
        <f>E45</f>
        <v>126200</v>
      </c>
      <c r="F44" s="251">
        <f>F45</f>
        <v>129100</v>
      </c>
    </row>
    <row r="45" spans="1:6" s="221" customFormat="1" ht="43.5" customHeight="1" thickBot="1">
      <c r="A45" s="350" t="s">
        <v>403</v>
      </c>
      <c r="B45" s="351"/>
      <c r="C45" s="220" t="s">
        <v>310</v>
      </c>
      <c r="D45" s="244">
        <v>125600</v>
      </c>
      <c r="E45" s="252">
        <v>126200</v>
      </c>
      <c r="F45" s="253">
        <v>129100</v>
      </c>
    </row>
    <row r="46" spans="1:6" ht="33" customHeight="1" thickBot="1">
      <c r="A46" s="352" t="s">
        <v>404</v>
      </c>
      <c r="B46" s="353"/>
      <c r="C46" s="110" t="s">
        <v>151</v>
      </c>
      <c r="D46" s="224">
        <f>D47</f>
        <v>35700</v>
      </c>
      <c r="E46" s="224">
        <f>E47</f>
        <v>35700</v>
      </c>
      <c r="F46" s="225">
        <f>F47</f>
        <v>35700</v>
      </c>
    </row>
    <row r="47" spans="1:8" ht="36.75" customHeight="1" thickBot="1">
      <c r="A47" s="354" t="s">
        <v>405</v>
      </c>
      <c r="B47" s="355"/>
      <c r="C47" s="103" t="s">
        <v>311</v>
      </c>
      <c r="D47" s="239">
        <f>35000+700</f>
        <v>35700</v>
      </c>
      <c r="E47" s="233">
        <f>35000+700</f>
        <v>35700</v>
      </c>
      <c r="F47" s="188">
        <f>35000+700</f>
        <v>35700</v>
      </c>
      <c r="G47" s="384"/>
      <c r="H47" s="385"/>
    </row>
    <row r="48" spans="1:8" ht="29.25" customHeight="1" thickBot="1">
      <c r="A48" s="354" t="s">
        <v>406</v>
      </c>
      <c r="B48" s="355"/>
      <c r="C48" s="130" t="s">
        <v>274</v>
      </c>
      <c r="D48" s="239">
        <v>0</v>
      </c>
      <c r="E48" s="239">
        <f>E49</f>
        <v>0</v>
      </c>
      <c r="F48" s="188">
        <f>F49</f>
        <v>0</v>
      </c>
      <c r="G48" s="51"/>
      <c r="H48" s="129"/>
    </row>
    <row r="49" spans="1:8" ht="27" customHeight="1" thickBot="1">
      <c r="A49" s="354" t="s">
        <v>407</v>
      </c>
      <c r="B49" s="355"/>
      <c r="C49" s="130" t="s">
        <v>320</v>
      </c>
      <c r="D49" s="239">
        <v>0</v>
      </c>
      <c r="E49" s="188">
        <v>0</v>
      </c>
      <c r="F49" s="188">
        <v>0</v>
      </c>
      <c r="G49" s="51"/>
      <c r="H49" s="129"/>
    </row>
    <row r="50" spans="1:6" ht="15" customHeight="1" thickBot="1">
      <c r="A50" s="380"/>
      <c r="B50" s="381"/>
      <c r="C50" s="145" t="s">
        <v>60</v>
      </c>
      <c r="D50" s="235">
        <f>SUM(D33+D34)</f>
        <v>19531016.9</v>
      </c>
      <c r="E50" s="229">
        <f>SUM(E33+E34)</f>
        <v>14079200</v>
      </c>
      <c r="F50" s="254">
        <f>SUM(F33+F34)</f>
        <v>13975700</v>
      </c>
    </row>
    <row r="51" spans="1:6" ht="16.5" customHeight="1" thickBot="1">
      <c r="A51" s="354"/>
      <c r="B51" s="355"/>
      <c r="C51" s="111" t="s">
        <v>61</v>
      </c>
      <c r="D51" s="255">
        <f>D10*5%+5663312.76</f>
        <v>5867172.76</v>
      </c>
      <c r="E51" s="255">
        <f>E10*5%</f>
        <v>204595</v>
      </c>
      <c r="F51" s="256">
        <f>F10*5%</f>
        <v>208235</v>
      </c>
    </row>
    <row r="52" spans="1:6" ht="17.25" customHeight="1" thickBot="1">
      <c r="A52" s="354"/>
      <c r="B52" s="355"/>
      <c r="C52" s="112" t="s">
        <v>112</v>
      </c>
      <c r="D52" s="227">
        <f>SUM(D33+D34+D51)</f>
        <v>25398189.659999996</v>
      </c>
      <c r="E52" s="227">
        <f>SUM(E33+E34+E51)</f>
        <v>14283795</v>
      </c>
      <c r="F52" s="228">
        <f>SUM(F33+F34+F51)</f>
        <v>14183935</v>
      </c>
    </row>
    <row r="53" spans="1:6" ht="13.5">
      <c r="A53" s="113"/>
      <c r="B53" s="113"/>
      <c r="C53" s="114"/>
      <c r="D53" s="113"/>
      <c r="E53" s="71"/>
      <c r="F53" s="71"/>
    </row>
    <row r="54" spans="1:6" ht="13.5">
      <c r="A54" s="363"/>
      <c r="B54" s="363"/>
      <c r="C54" s="363"/>
      <c r="D54" s="364"/>
      <c r="E54" s="71"/>
      <c r="F54" s="71"/>
    </row>
    <row r="55" spans="1:4" ht="12.75">
      <c r="A55" s="46"/>
      <c r="B55" s="46"/>
      <c r="C55" s="46"/>
      <c r="D55" s="46"/>
    </row>
    <row r="56" ht="12.75">
      <c r="A56" s="47" t="s">
        <v>147</v>
      </c>
    </row>
    <row r="59" spans="3:4" ht="12.75">
      <c r="C59" s="361"/>
      <c r="D59" s="362"/>
    </row>
  </sheetData>
  <sheetProtection/>
  <mergeCells count="52">
    <mergeCell ref="G39:H39"/>
    <mergeCell ref="G47:H47"/>
    <mergeCell ref="G13:H13"/>
    <mergeCell ref="G14:H14"/>
    <mergeCell ref="G23:H23"/>
    <mergeCell ref="G24:H24"/>
    <mergeCell ref="G26:H26"/>
    <mergeCell ref="G27:H27"/>
    <mergeCell ref="A50:B50"/>
    <mergeCell ref="A51:B51"/>
    <mergeCell ref="A43:B43"/>
    <mergeCell ref="A46:B46"/>
    <mergeCell ref="A47:B47"/>
    <mergeCell ref="A44:B44"/>
    <mergeCell ref="A45:B45"/>
    <mergeCell ref="A49:B49"/>
    <mergeCell ref="A48:B48"/>
    <mergeCell ref="A40:B40"/>
    <mergeCell ref="A14:B14"/>
    <mergeCell ref="A20:B20"/>
    <mergeCell ref="A27:B27"/>
    <mergeCell ref="A33:B33"/>
    <mergeCell ref="A22:B22"/>
    <mergeCell ref="A34:B34"/>
    <mergeCell ref="A39:B39"/>
    <mergeCell ref="A25:B25"/>
    <mergeCell ref="A26:B26"/>
    <mergeCell ref="B2:D2"/>
    <mergeCell ref="A7:B7"/>
    <mergeCell ref="A8:B9"/>
    <mergeCell ref="C8:C9"/>
    <mergeCell ref="D8:D9"/>
    <mergeCell ref="A13:B13"/>
    <mergeCell ref="B3:F3"/>
    <mergeCell ref="A12:B12"/>
    <mergeCell ref="C59:D59"/>
    <mergeCell ref="A54:D54"/>
    <mergeCell ref="A52:B52"/>
    <mergeCell ref="A1:A3"/>
    <mergeCell ref="B1:D1"/>
    <mergeCell ref="A10:B10"/>
    <mergeCell ref="A35:B35"/>
    <mergeCell ref="A36:B36"/>
    <mergeCell ref="A38:B38"/>
    <mergeCell ref="A11:B11"/>
    <mergeCell ref="A37:B37"/>
    <mergeCell ref="A23:B23"/>
    <mergeCell ref="A24:B24"/>
    <mergeCell ref="D7:F7"/>
    <mergeCell ref="C4:F4"/>
    <mergeCell ref="A5:F5"/>
    <mergeCell ref="E8:F8"/>
  </mergeCells>
  <printOptions/>
  <pageMargins left="0.5905511811023623" right="0.35433070866141736" top="0.1968503937007874" bottom="0.2755905511811024" header="0.15748031496062992" footer="0.2362204724409449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92" t="s">
        <v>99</v>
      </c>
      <c r="F1" s="392"/>
      <c r="G1" s="392"/>
      <c r="H1" s="392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91" t="s">
        <v>104</v>
      </c>
      <c r="B6" s="391"/>
      <c r="C6" s="391"/>
      <c r="D6" s="391"/>
      <c r="E6" s="391"/>
      <c r="F6" s="391"/>
      <c r="G6" s="391"/>
      <c r="H6" s="391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HP</cp:lastModifiedBy>
  <cp:lastPrinted>2020-03-02T11:26:59Z</cp:lastPrinted>
  <dcterms:created xsi:type="dcterms:W3CDTF">2005-12-27T06:54:28Z</dcterms:created>
  <dcterms:modified xsi:type="dcterms:W3CDTF">2020-03-31T09:02:55Z</dcterms:modified>
  <cp:category/>
  <cp:version/>
  <cp:contentType/>
  <cp:contentStatus/>
</cp:coreProperties>
</file>