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7040" windowHeight="4155" tabRatio="532" activeTab="5"/>
  </bookViews>
  <sheets>
    <sheet name="прил.4 ведомств" sheetId="1" r:id="rId1"/>
    <sheet name="прил.6" sheetId="2" r:id="rId2"/>
    <sheet name="прилож.3" sheetId="3" r:id="rId3"/>
    <sheet name="прил5" sheetId="4" r:id="rId4"/>
    <sheet name="прил.2" sheetId="5" r:id="rId5"/>
    <sheet name="прилож1" sheetId="6" r:id="rId6"/>
    <sheet name="ведфункц" sheetId="7" state="hidden" r:id="rId7"/>
  </sheets>
  <definedNames>
    <definedName name="_xlnm.Print_Area" localSheetId="6">'ведфункц'!$A$1:$H$111</definedName>
  </definedNames>
  <calcPr fullCalcOnLoad="1"/>
</workbook>
</file>

<file path=xl/sharedStrings.xml><?xml version="1.0" encoding="utf-8"?>
<sst xmlns="http://schemas.openxmlformats.org/spreadsheetml/2006/main" count="2505" uniqueCount="564">
  <si>
    <t>ОБЩЕГОСУДАРСТВЕННЫЕ ВОПРОСЫ</t>
  </si>
  <si>
    <t>О1</t>
  </si>
  <si>
    <t>ОО</t>
  </si>
  <si>
    <t>ООО ОО 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</si>
  <si>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</si>
  <si>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</si>
  <si>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</si>
  <si>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Руководство и управление в сфере установленных функций</t>
  </si>
  <si>
    <t>ОО1 ОО ОО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</si>
  <si>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</si>
  <si>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</si>
  <si>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</si>
  <si>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</si>
  <si>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</si>
  <si>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</si>
  <si>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</si>
  <si>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</si>
  <si>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</si>
  <si>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</si>
  <si>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</si>
  <si>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</si>
  <si>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</si>
  <si>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</si>
  <si>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</si>
  <si>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</si>
  <si>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О8</t>
  </si>
  <si>
    <t>Культура</t>
  </si>
  <si>
    <t>440 ОО ОО</t>
  </si>
  <si>
    <t>Библиотеки</t>
  </si>
  <si>
    <t>442 ОО ОО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</si>
  <si>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</si>
  <si>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</si>
  <si>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</si>
  <si>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</si>
  <si>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</si>
  <si>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</si>
  <si>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</si>
  <si>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экономическая статья расходов</t>
  </si>
  <si>
    <t>сумма</t>
  </si>
  <si>
    <t>О2</t>
  </si>
  <si>
    <t>СОЦИАЛЬНАЯ ПОЛИТИКА</t>
  </si>
  <si>
    <t>1О</t>
  </si>
  <si>
    <t>Социальное обеспечение населения</t>
  </si>
  <si>
    <t>О3</t>
  </si>
  <si>
    <t>Фонд компенсаций</t>
  </si>
  <si>
    <t>519 ОО ОО</t>
  </si>
  <si>
    <t>Социальное обеспечение</t>
  </si>
  <si>
    <t>Пособия по социальной помощи населению</t>
  </si>
  <si>
    <t>000 1 00 00000 00 0000 000</t>
  </si>
  <si>
    <t xml:space="preserve"> ДОХОДЫ </t>
  </si>
  <si>
    <t>182 1 01 00000 00 0000 000</t>
  </si>
  <si>
    <t>Налоги на прибыль</t>
  </si>
  <si>
    <t>182 1 01 01000 00 0000 000</t>
  </si>
  <si>
    <t>182 1 01 02000 01 0000 110</t>
  </si>
  <si>
    <t xml:space="preserve">Налог на доходы физических лиц  </t>
  </si>
  <si>
    <t>182 1 06 00000 00 0000 000</t>
  </si>
  <si>
    <t>Налоги на имущество</t>
  </si>
  <si>
    <t>182 1 06 06000 00 0000 110</t>
  </si>
  <si>
    <t xml:space="preserve">Земельный налог </t>
  </si>
  <si>
    <t>БЕЗВОЗМЕЗДНЫЕ ПОСТУПЛЕНИЯ</t>
  </si>
  <si>
    <t xml:space="preserve"> ВСЕГО  ДОХОДОВ</t>
  </si>
  <si>
    <t>код</t>
  </si>
  <si>
    <t>Оплата жилищно-коммунальных услуг отдельным категорям граждан</t>
  </si>
  <si>
    <t>О45</t>
  </si>
  <si>
    <t>КБК</t>
  </si>
  <si>
    <t>экономи-ческая статья расходов</t>
  </si>
  <si>
    <t xml:space="preserve">к решению Думы </t>
  </si>
  <si>
    <t>Мобилизационная и вневойсковая подготовка</t>
  </si>
  <si>
    <t>НАЦИОНАЛЬНАЯ ОБОРОНА</t>
  </si>
  <si>
    <t>НАЦИОНАЛЬНАЯ ПОЛИТИКА</t>
  </si>
  <si>
    <t>Сельское хозяйство и рыболовство</t>
  </si>
  <si>
    <t>Сельскохозяйственное производство</t>
  </si>
  <si>
    <t>Мероприятия в области сельскохозяйственного производства</t>
  </si>
  <si>
    <t>О5</t>
  </si>
  <si>
    <t>26О ОО ОО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</si>
  <si>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</si>
  <si>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</si>
  <si>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</si>
  <si>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351 ОО ОО</t>
  </si>
  <si>
    <t>Жилищное хозяйство хозяйство</t>
  </si>
  <si>
    <t>182 1 06 01030 10 1000 110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</si>
  <si>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</si>
  <si>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</si>
  <si>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 ОО ОО</t>
  </si>
  <si>
    <t>Глава муниципального образования</t>
  </si>
  <si>
    <t>ОО2 О3 ОО</t>
  </si>
  <si>
    <t>Выполнение функций органами местного самоуправления</t>
  </si>
  <si>
    <t>ОО2 13 ОО</t>
  </si>
  <si>
    <t>5ОО</t>
  </si>
  <si>
    <t>Выполнение функций органами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</si>
  <si>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</si>
  <si>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ОО1 36 ОО</t>
  </si>
  <si>
    <t>Дворцы и дома культуры, другие учреждения культуры и средств массовой информации</t>
  </si>
  <si>
    <t>440 99 ОО</t>
  </si>
  <si>
    <t>Выполнение функций бюджетными учреждениями</t>
  </si>
  <si>
    <t>ОО1</t>
  </si>
  <si>
    <t>442 99 ОО</t>
  </si>
  <si>
    <t>Мероприятия в рамках административной реформы</t>
  </si>
  <si>
    <t>Приложение № 8</t>
  </si>
  <si>
    <t xml:space="preserve">"О бюджете муниципального образования </t>
  </si>
  <si>
    <t>"Олойское" на 2008 год"</t>
  </si>
  <si>
    <t>О58</t>
  </si>
  <si>
    <t xml:space="preserve">Администрация муниципального образования "Олойское" </t>
  </si>
  <si>
    <t>Ведомственная стуктура расходов бюджета муниципального образования "Олойское" на 2008 год</t>
  </si>
  <si>
    <t xml:space="preserve">Народный коллектив и Дом творчества </t>
  </si>
  <si>
    <t xml:space="preserve">Олойская   сельская  библиотека </t>
  </si>
  <si>
    <t>Начальник финансового отдела МО "Олойское":</t>
  </si>
  <si>
    <t xml:space="preserve">Арендная плата за пользование имуществом </t>
  </si>
  <si>
    <t>О14</t>
  </si>
  <si>
    <t>ОО2 04 ОО</t>
  </si>
  <si>
    <t>КУЛЬТУРА</t>
  </si>
  <si>
    <t>ВСЕГО</t>
  </si>
  <si>
    <t>(руб.)</t>
  </si>
  <si>
    <t>О70 05 00</t>
  </si>
  <si>
    <t>182 1 06 01000 00 0000 110</t>
  </si>
  <si>
    <t>Налог на имущество физических лиц</t>
  </si>
  <si>
    <t>182 1 06 06010 00 0000 110</t>
  </si>
  <si>
    <t>Земельный налог, взимаемым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</si>
  <si>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</si>
  <si>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Дотации на выравнивание уровня бюджетной обеспеченности </t>
  </si>
  <si>
    <t>Субсидии бюджетам субъектов  Российской Федерации и муниципальных образований (межбюджетные субсидии)</t>
  </si>
  <si>
    <t>182 1 05 00000 00 0000 000</t>
  </si>
  <si>
    <t>Единый сельскохозяйственный налог</t>
  </si>
  <si>
    <t>00</t>
  </si>
  <si>
    <t>000 00 00</t>
  </si>
  <si>
    <t>000</t>
  </si>
  <si>
    <t>01</t>
  </si>
  <si>
    <t>200</t>
  </si>
  <si>
    <t>260</t>
  </si>
  <si>
    <t>Налоги на совокупный доход</t>
  </si>
  <si>
    <t>Источники финансирования дефицита бюджета</t>
  </si>
  <si>
    <t>000 01 05 00 00 00 0000 000</t>
  </si>
  <si>
    <t>Уменьшение остатков средств бюджета</t>
  </si>
  <si>
    <t>Увеличение остатков средств бюджета</t>
  </si>
  <si>
    <t>6ОО О2 ОО</t>
  </si>
  <si>
    <t xml:space="preserve">Увеличение стоимости материальных запасов </t>
  </si>
  <si>
    <t>6ОО О5 ОО</t>
  </si>
  <si>
    <t>Изменение остатков средств средств на счетах по учету средств бюджета</t>
  </si>
  <si>
    <t>Увеличение  прочих остатков средств бюджета</t>
  </si>
  <si>
    <t>Увеличение  прочих остатков денежных средств бюджета</t>
  </si>
  <si>
    <t>Уменьшение  прочих остатков средств бюджета</t>
  </si>
  <si>
    <t>Уменьшение  прочих остатков денежных средств бюджета</t>
  </si>
  <si>
    <t>182 1 05 03 000 01 0000 110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</si>
  <si>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</si>
  <si>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ИТОГО  СОБСТВЕННЫХ ДОХОДОВ:</t>
  </si>
  <si>
    <t xml:space="preserve">       </t>
  </si>
  <si>
    <t>02</t>
  </si>
  <si>
    <t xml:space="preserve">                                                         Наименование 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</si>
  <si>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</si>
  <si>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</si>
  <si>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</si>
  <si>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182 1 01 02010 01 0000 110</t>
  </si>
  <si>
    <t>НАЛОГИ НА ПРИБЫЛЬ, ДОХОДЫ</t>
  </si>
  <si>
    <t>Закупка товаров, работ,услуг для муниципальных нужд</t>
  </si>
  <si>
    <t>Закупка товаров, работ,услуг сфере информационно-коммуникационных технологий</t>
  </si>
  <si>
    <t>221</t>
  </si>
  <si>
    <t>Прочие работы,услуги</t>
  </si>
  <si>
    <t>226</t>
  </si>
  <si>
    <t>Закупка товаров, работ,услуг в целях формирования муниципального материального резерва</t>
  </si>
  <si>
    <t>340</t>
  </si>
  <si>
    <t>Прочая закупка товаров,работ,услуг для муниципальных нужд</t>
  </si>
  <si>
    <t>Прочие работы, услуги</t>
  </si>
  <si>
    <t>Уплата налогов,сборов и иных платежей</t>
  </si>
  <si>
    <t>Уплата прочих налогов,сборов и иных платежей</t>
  </si>
  <si>
    <t>Закупка товаров,работ и услуг для государственных услуг</t>
  </si>
  <si>
    <t>Фонд оплаты труда и страховые взносы</t>
  </si>
  <si>
    <t>Приложение 1</t>
  </si>
  <si>
    <t>Приложение 2</t>
  </si>
  <si>
    <t>ОБЩЕЭКОНОМИЧЕСКИЕ ВОПРОСЫ</t>
  </si>
  <si>
    <t>04</t>
  </si>
  <si>
    <t xml:space="preserve">Земельный налог, взимаемый  по ставкам установленным в соответствии с подпунктом 2 пункта 1 статьи 394 Налогового кодекса РФ и пременяемым к объектам налогообложения , расположенным в границах   поселений </t>
  </si>
  <si>
    <t>182 1 03 02230 01 0000 110</t>
  </si>
  <si>
    <t>182 1 03 02240 01 0000 110</t>
  </si>
  <si>
    <t>182 1 03 02250 01 0000 110</t>
  </si>
  <si>
    <t>182 1 03 02260 01 0000 110</t>
  </si>
  <si>
    <t>05</t>
  </si>
  <si>
    <t>03</t>
  </si>
  <si>
    <t>09</t>
  </si>
  <si>
    <t>613 01 03</t>
  </si>
  <si>
    <t>244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</si>
  <si>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</si>
  <si>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</si>
  <si>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</si>
  <si>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</si>
  <si>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512 97 00</t>
  </si>
  <si>
    <t>НАЛОГИ НА ТОВАРЫ (РАБОТЫ, УСЛУГИ), РЕАЛИЗУЕМЫЕ НА ТЕРРИТОРИИ РОССИЙСКОЙ ФЕДЕРАЦИИ</t>
  </si>
  <si>
    <t>315 02 00</t>
  </si>
  <si>
    <t>14</t>
  </si>
  <si>
    <t>795 00 01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</si>
  <si>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</si>
  <si>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000 00 00 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</si>
  <si>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</si>
  <si>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</si>
  <si>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521 06 00</t>
  </si>
  <si>
    <t>Перечисления другим бюджетам Бюджетной системы РФ</t>
  </si>
  <si>
    <t>540</t>
  </si>
  <si>
    <t>251</t>
  </si>
  <si>
    <t>703 51 18</t>
  </si>
  <si>
    <t>13</t>
  </si>
  <si>
    <t xml:space="preserve">90А 06 00 </t>
  </si>
  <si>
    <t>Приложение 5</t>
  </si>
  <si>
    <t>Коды бюджетной классификации Российской Федерации</t>
  </si>
  <si>
    <t xml:space="preserve">администратора доходов </t>
  </si>
  <si>
    <t>доходов поселения</t>
  </si>
  <si>
    <t xml:space="preserve"> 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</si>
  <si>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</si>
  <si>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</si>
  <si>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</si>
  <si>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1 13 01995 10 0000 130 </t>
  </si>
  <si>
    <t>Прочие доходы от оказания платных услуг (работ) получателями средств  бюджетов поселений</t>
  </si>
  <si>
    <t>Код главного распорядителя</t>
  </si>
  <si>
    <t>Наименование главного распорядителя</t>
  </si>
  <si>
    <t>Кредиты кредитных организаций в валюте Российской Федерации</t>
  </si>
  <si>
    <t>000 01 00 00 00 00 0000 000</t>
  </si>
  <si>
    <t>Приложение 3</t>
  </si>
  <si>
    <t>Приложение 4</t>
  </si>
  <si>
    <t>182 1 06 06033 10 0000 110</t>
  </si>
  <si>
    <t>182 1 06 06043 10 0000 110</t>
  </si>
  <si>
    <t>Проведение воспитательной,пропагандисткой работы с населением поселения,направленная на предупреждение террористической и экстремистской деятельности</t>
  </si>
  <si>
    <t>Иные бюджетные ассигнования</t>
  </si>
  <si>
    <t>Межбюджетные транферты</t>
  </si>
  <si>
    <t>500</t>
  </si>
  <si>
    <t xml:space="preserve">Обеспечение досуговой деятельности </t>
  </si>
  <si>
    <t>Расходы на обеспечение функций казенных учреждений</t>
  </si>
  <si>
    <t>Обеспечение библиотечной деятельности</t>
  </si>
  <si>
    <t>452 99 ОО</t>
  </si>
  <si>
    <t>600 01 00</t>
  </si>
  <si>
    <t>600 04 00</t>
  </si>
  <si>
    <t>КУЛЬТУРА, КИНЕМАТОГРАФИЯ</t>
  </si>
  <si>
    <t>ИТОГО</t>
  </si>
  <si>
    <t>целевая статья</t>
  </si>
  <si>
    <t>440 00 00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</si>
  <si>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</si>
  <si>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</si>
  <si>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УЛИЧНОЕ ОСВЕЩЕНИЕ</t>
  </si>
  <si>
    <t>БЛАГОУСТРОЙСТВО</t>
  </si>
  <si>
    <t>ДОРОЖНОЕ ХОЗЯЙСТВО</t>
  </si>
  <si>
    <t>ИСПОЛНЕНИЕ ПЕРЕДАННЫХ ГОСУДАРСТВЕННЫХ ПОЛНОМОЧИЙ РФ И ИРКУТСКОЙ ОБЛАСТИ</t>
  </si>
  <si>
    <t>НАЦИОНАЛЬНАЯ ЭКОНОМИКА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</si>
  <si>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</si>
  <si>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</si>
  <si>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РЕЗЕРВНЫЙ ФОНД ИСПОЛНИТЕЛЬНЫХ ОРГАНОВ ГОСУДАРСТВЕННОЙ ВЛАСТИ (МЕСТНЫХ АДМИНИСТРАЦИЙ)</t>
  </si>
  <si>
    <t>Уплата налога на имущество организаций и земельного налога</t>
  </si>
  <si>
    <t>Обеспечение непредвиденных расходов за счет средств резервного фонда</t>
  </si>
  <si>
    <t>Резервные средства</t>
  </si>
  <si>
    <t>290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</si>
  <si>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</si>
  <si>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</si>
  <si>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товаров,работ и услуг для муниципальных нужд</t>
  </si>
  <si>
    <t>240</t>
  </si>
  <si>
    <t>увеличение стоимости материальных запасов</t>
  </si>
  <si>
    <t>100</t>
  </si>
  <si>
    <t>Иные межбюджетные трансферты</t>
  </si>
  <si>
    <t>Расходы на выплаты по оплате труда персоналу казенных учреждений</t>
  </si>
  <si>
    <t>91 1 00 00000</t>
  </si>
  <si>
    <t>91 1 12 90110</t>
  </si>
  <si>
    <t>91 1 12 90120</t>
  </si>
  <si>
    <t>91 2 00 00000</t>
  </si>
  <si>
    <t>91 2  00 00000</t>
  </si>
  <si>
    <t>91 2 02 51180</t>
  </si>
  <si>
    <t>91 2 01 73110</t>
  </si>
  <si>
    <t>91 3 14 90150</t>
  </si>
  <si>
    <t>91 4 05 90200</t>
  </si>
  <si>
    <t>91 8 09 90240</t>
  </si>
  <si>
    <t>91 7 00 00000</t>
  </si>
  <si>
    <t>91 7 10 90310</t>
  </si>
  <si>
    <t>91 7 10 90320</t>
  </si>
  <si>
    <t>Уплата  прочих налогов,сборов и иных платежей</t>
  </si>
  <si>
    <t>91 7 11 00000</t>
  </si>
  <si>
    <t>91 7 11 90320</t>
  </si>
  <si>
    <t>0 0 00 00000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</si>
  <si>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</si>
  <si>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</si>
  <si>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</si>
  <si>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</si>
  <si>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трансферты,передаваемые бюджетам сельских поселений</t>
  </si>
  <si>
    <t>плановый период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</si>
  <si>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</si>
  <si>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</si>
  <si>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объем  условно утверждаемых  расходов</t>
  </si>
  <si>
    <t>( руб.)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</si>
  <si>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</si>
  <si>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</si>
  <si>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</si>
  <si>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</si>
  <si>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</si>
  <si>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</si>
  <si>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</si>
  <si>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</si>
  <si>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</si>
  <si>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1 17 01050 10 0000 180</t>
  </si>
  <si>
    <t>1 17 05050 10 0000 180</t>
  </si>
  <si>
    <t>7950100000</t>
  </si>
  <si>
    <t>91 8 00 00000</t>
  </si>
  <si>
    <t>ОБЕСПЕЧЕНИЕ ПРОВЕДЕНИЯ ВЫБОРОВ И РЕФЕРЕНДУМОВ</t>
  </si>
  <si>
    <t>Расходы на подготовку и проведение выборов органов местного самоуправления</t>
  </si>
  <si>
    <t>07</t>
  </si>
  <si>
    <t>91 1 14 90140</t>
  </si>
  <si>
    <t>прочие расходы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</si>
  <si>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</si>
  <si>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</si>
  <si>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12</t>
  </si>
  <si>
    <t>91 9 13 90270</t>
  </si>
  <si>
    <t>НАЦИОНАЛЬНАЯ БЕЗОПАСНОСТЬ И ПРАВООХРАНИТЕЛЬНАЯ ДЕЯТЕЛЬНОСТЬ</t>
  </si>
  <si>
    <t>Администрация муниципального образования "Гаханское"</t>
  </si>
  <si>
    <t>Финансовый отдел администрации муниципального образования "Гаханское"</t>
  </si>
  <si>
    <t>250</t>
  </si>
  <si>
    <t>030</t>
  </si>
  <si>
    <t>АДМИНИСТРАЦИЯ МУНИЦИПАЛЬНОГО ОБРАЗОВАНИЯ "ГАХАНСКОЕ"</t>
  </si>
  <si>
    <t>МКУК  КИЦ МО "ГАХАНСКОЕ"</t>
  </si>
  <si>
    <t>610</t>
  </si>
  <si>
    <t>Дорожный фонд МО  "ГАХАНСКОЕ"</t>
  </si>
  <si>
    <t>91 8 75 90280</t>
  </si>
  <si>
    <t xml:space="preserve">Муниципальная целевая программа «Профилактика терроризма и экстремизма в муниципальном 
образовании «Гаханское» на 2017 -2019 годы »
</t>
  </si>
  <si>
    <t>91 8 76 90280</t>
  </si>
  <si>
    <t xml:space="preserve">Муниципальная целевая программа «ПРОФИЛАКТИКА ПРАВОНАРУШЕНИЙ НА ТЕРРИТОРИИ МУНИЦИПАЛЬНОГО ОБРАЗОВАНИЯ «ГАХАНСКОЕ» НА 2017-2022 ГОДЫ»
</t>
  </si>
  <si>
    <t>91 8 77 90280</t>
  </si>
  <si>
    <t>91 7 06 90220</t>
  </si>
  <si>
    <t>91 7 12 90350</t>
  </si>
  <si>
    <t>2 02 15001 10 0000 150</t>
  </si>
  <si>
    <t>2 02 15002 10 0000 150</t>
  </si>
  <si>
    <t>2 02 29999 10 0000 150</t>
  </si>
  <si>
    <t>2 02 35118 10 0000 150</t>
  </si>
  <si>
    <t>2 02 49999 10 0000 150</t>
  </si>
  <si>
    <t>182 1 03 00000 00 0000 000</t>
  </si>
  <si>
    <t>030 2 00 00000 00 0000 000</t>
  </si>
  <si>
    <t>030 2 02 00000 00 0000 000</t>
  </si>
  <si>
    <t>Дотации бюджетам сельских поселений на выравнивание бюджетной обеспеченности поселений из бюджета муниципального района</t>
  </si>
  <si>
    <t>Дотации бюджетам сельских поселений на выравнивание бюджетной обеспеченности поселений из областного бюджета</t>
  </si>
  <si>
    <t>Муниципальная программа "Формирование современной городской среды муниципального образования "Гаханское" на 2018-2024 годы"</t>
  </si>
  <si>
    <t>2022 год</t>
  </si>
  <si>
    <t>Увеличение ст-ти основных средств</t>
  </si>
  <si>
    <t>Муниципальная программа "Градостроительство в муниципальном образовании "Гаханское" на 2018-2020 гг."</t>
  </si>
  <si>
    <t>Услуги, работы для целей капитальных вложений (разработка проектной и сметной документации для строительства, экспертиза проектной документации)</t>
  </si>
  <si>
    <t>Муниципальная программа "Поддержка социально ориентированных некомерческих организаций и муниципальных образований на 2018-2020 гг."</t>
  </si>
  <si>
    <t>030 2 02 15001 10 0000 150</t>
  </si>
  <si>
    <t>030 2 02 01001 00 0000 150</t>
  </si>
  <si>
    <t>030 2 02 29999 10 0000 150</t>
  </si>
  <si>
    <t>030 2 02 30024 00 0000 150</t>
  </si>
  <si>
    <t>030 2 02 30024 10 0000 150</t>
  </si>
  <si>
    <t xml:space="preserve">Перечень главных администраторов доходов  бюджета муниципального образования "Гаханское"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</si>
  <si>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</si>
  <si>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</si>
  <si>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2 08 05000 10 0000 150</t>
  </si>
  <si>
    <t xml:space="preserve"> 2 02 30024 10 0000 150</t>
  </si>
  <si>
    <t>91 4 05 90190</t>
  </si>
  <si>
    <t xml:space="preserve">Прогнозируемые доходы бюджета муниципального образования "Гаханское" </t>
  </si>
  <si>
    <t>000 01 05 02 00 00 0000 500</t>
  </si>
  <si>
    <t>2023 год</t>
  </si>
  <si>
    <t>030 2 02 25555 10 0000 150</t>
  </si>
  <si>
    <t>030 2 02 35118 10 0000 150</t>
  </si>
  <si>
    <t>030 2 02 35118 00 0000 150</t>
  </si>
  <si>
    <t>030 2 02 30000 00 0000 150</t>
  </si>
  <si>
    <t>030 2 02 40000 00 0000 150</t>
  </si>
  <si>
    <t>030 2 02 49999 00 0000 150</t>
  </si>
  <si>
    <t>030 2 02 20000 00 0000 150</t>
  </si>
  <si>
    <t>Субсидии бюджетам сельских поселений на  реализацию программ формирования современной городской среды</t>
  </si>
  <si>
    <t xml:space="preserve">030 </t>
  </si>
  <si>
    <t>2 02 25555 10 0000 150</t>
  </si>
  <si>
    <t>Источники внутреннего финансирования дефицита бюджета - всего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</si>
  <si>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</si>
  <si>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</si>
  <si>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</si>
  <si>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</si>
  <si>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</si>
  <si>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</si>
  <si>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000 01 05 00 00 00 0000 500</t>
  </si>
  <si>
    <t>000 01 05 02 01 00 0000 510</t>
  </si>
  <si>
    <t>Увеличение прочих остатков денежных средств бюджетов субъектов Российской Федерации</t>
  </si>
  <si>
    <t>000 01 05 00 00 00 0000 600</t>
  </si>
  <si>
    <t>000 01 05 02 00 10 0000 600</t>
  </si>
  <si>
    <t>000 01 05 02 01 00 0000 610</t>
  </si>
  <si>
    <t>Уменьшение  прочих остатков денежных средств бюджета субъектов Российской Федерации</t>
  </si>
  <si>
    <t>Иные источники внутреннего финансирования дефицитов бюджетов</t>
  </si>
  <si>
    <t>001 01 06 00 00 00 0000 000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</si>
  <si>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</si>
  <si>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</si>
  <si>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 xml:space="preserve">Муниципальная целевая программа «Обеспечение пожарной безопасности в границах МО «Гаханское» на 2020-2023 гг. 
</t>
  </si>
  <si>
    <t>91 7 07 90230</t>
  </si>
  <si>
    <t>Обслуживание внутреннего долга</t>
  </si>
  <si>
    <t>310</t>
  </si>
  <si>
    <t xml:space="preserve">Софинансирование мероприятий по поддержке муниципальных программ формирования современной городской среды </t>
  </si>
  <si>
    <t>в том числе:</t>
  </si>
  <si>
    <t>(рублей)</t>
  </si>
  <si>
    <t>Объем привлечения в 2022 году</t>
  </si>
  <si>
    <t>Объем погашения в 2022 году</t>
  </si>
  <si>
    <t>Объем привлечения в 2023 году</t>
  </si>
  <si>
    <t>Объем погашения в 2023 году</t>
  </si>
  <si>
    <t>Привлечение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</si>
  <si>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</si>
  <si>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</si>
  <si>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</si>
  <si>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000 01 05 02 00 10 0000 500</t>
  </si>
  <si>
    <t>000 01 05 02 01 10 0000 510</t>
  </si>
  <si>
    <t>000 01 05 02 01 10 0000 610</t>
  </si>
  <si>
    <t>Закупка энергетических ресурсов</t>
  </si>
  <si>
    <t>000 01 05 02 01 02 0000 510</t>
  </si>
  <si>
    <t>000 01 02 00 00 00 0000 000</t>
  </si>
  <si>
    <t>000 01 02 00 00 00 0000 700</t>
  </si>
  <si>
    <t>000 01 02 00 00 10 0000 710</t>
  </si>
  <si>
    <t>000 01 02 00 00 00 0000 800</t>
  </si>
  <si>
    <t>000 01 02 00 00 10 0000 810</t>
  </si>
  <si>
    <t>000 01 03 00 00 00 0000 000</t>
  </si>
  <si>
    <t>000 01 03 00 00 00 0000 700</t>
  </si>
  <si>
    <t>000 01 03 00 00 10 0000 710</t>
  </si>
  <si>
    <t>000 01 03 00 00 00 0000 800</t>
  </si>
  <si>
    <t>000 01 03 00 00 10 0000 810</t>
  </si>
  <si>
    <t>91 1 01 90110</t>
  </si>
  <si>
    <t>91 1 02 90120</t>
  </si>
  <si>
    <t>91 1 03 90130</t>
  </si>
  <si>
    <t>91 2 01 73150</t>
  </si>
  <si>
    <t>91 2 03 73110</t>
  </si>
  <si>
    <t>91 5 00 00000</t>
  </si>
  <si>
    <t>91 5 03 00000</t>
  </si>
  <si>
    <t xml:space="preserve">91 7 10 90310 </t>
  </si>
  <si>
    <t>эту строку можно удалить, т.к. она повторяется (строка 62)</t>
  </si>
  <si>
    <t>79 5 01 90140</t>
  </si>
  <si>
    <t>Реализация основного мероприятия муниципальных программ</t>
  </si>
  <si>
    <t>10</t>
  </si>
  <si>
    <t>91 2 03 00000</t>
  </si>
  <si>
    <t>Регулирование цен (тарифов) в сфере водоснабжения и водоотведения</t>
  </si>
  <si>
    <t>91 4 01 00000</t>
  </si>
  <si>
    <t>Реализация мероприятий по поддержке дорожного хозяйства</t>
  </si>
  <si>
    <t>91 4 02 00000</t>
  </si>
  <si>
    <t>91 5 02 00000</t>
  </si>
  <si>
    <t>Реализация мероприятий по благоустройству</t>
  </si>
  <si>
    <t>79 5 03 90140</t>
  </si>
  <si>
    <t>91 7 10 00000</t>
  </si>
  <si>
    <t>это строка дублирует предыдущую. Зачем она?</t>
  </si>
  <si>
    <t>91 7 11 90310</t>
  </si>
  <si>
    <t>OO</t>
  </si>
  <si>
    <t>Создание условий для устойчивого экономического развития</t>
  </si>
  <si>
    <t>Обеспечение эффективного управления и использования муниципального имущества</t>
  </si>
  <si>
    <t>91 1 02 00000</t>
  </si>
  <si>
    <t>91 1 01 00000</t>
  </si>
  <si>
    <t>91 1 03 00000</t>
  </si>
  <si>
    <t>79 5 01 00000</t>
  </si>
  <si>
    <t>79 5 02 00000</t>
  </si>
  <si>
    <t>79 5 02 90140</t>
  </si>
  <si>
    <t>91 4 00 00000</t>
  </si>
  <si>
    <t>91 4 01 90150</t>
  </si>
  <si>
    <t>91 4 02 90160</t>
  </si>
  <si>
    <t>91 5 02 90180</t>
  </si>
  <si>
    <t>91 5 04 90180</t>
  </si>
  <si>
    <t>91 5 04 00000</t>
  </si>
  <si>
    <t>79 5 03 00000</t>
  </si>
  <si>
    <t>91 8 01 00000</t>
  </si>
  <si>
    <t>91 8 01 90200</t>
  </si>
  <si>
    <t>79 5 F2 55551</t>
  </si>
  <si>
    <t>030 2 02   16001 10 0000 150</t>
  </si>
  <si>
    <t>91 5 05 S2370</t>
  </si>
  <si>
    <t>Мероприятия на реализацию перечня проектов народных инициатив</t>
  </si>
  <si>
    <t>91 7 10 S2370</t>
  </si>
  <si>
    <t>Увеличение стоимости материальных запасов, в т.ч.:</t>
  </si>
  <si>
    <t>мягкий инвентарь</t>
  </si>
  <si>
    <t>прочие оборотные запасы (материалы)</t>
  </si>
  <si>
    <t>Cофинансирование  мероприятий на реализацию перечня проектов народных инициатив</t>
  </si>
  <si>
    <t>2024 год</t>
  </si>
  <si>
    <t>Программа муниципальных внутренних заимствований муниципального образования "Гаханское"
 на 2022 год и на плановый период 2023 и 2024 годов</t>
  </si>
  <si>
    <t>Виды долговых обязательств</t>
  </si>
  <si>
    <t>Верхний предел муниципального долга на 01.01.2022 года</t>
  </si>
  <si>
    <t>Верхний предел муниципального долга на 01.01.2023 года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</si>
  <si>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</si>
  <si>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</si>
  <si>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</si>
  <si>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</si>
  <si>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Объем заимствований, всего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</si>
  <si>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</si>
  <si>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</si>
  <si>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2 лет</t>
  </si>
  <si>
    <t xml:space="preserve">2.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</si>
  <si>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</si>
  <si>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</si>
  <si>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 xml:space="preserve"> 2022 год</t>
  </si>
  <si>
    <t>91 Л 02 L5762</t>
  </si>
  <si>
    <t>91 Л 02 S2870</t>
  </si>
  <si>
    <t>91 Л 02S2870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</si>
  <si>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</si>
  <si>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</si>
  <si>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030 2 02 15002 10 0000 150</t>
  </si>
  <si>
    <t>Дефицит+Остатки бюдж.средств на 01.01.2022г.</t>
  </si>
  <si>
    <t>Иные пенсии, социальные доплаты к пенсиям</t>
  </si>
  <si>
    <t>Пенсии, пособия, выплачиваемые работодателями, нанимателями бывшим работникам</t>
  </si>
  <si>
    <t>91 1 10 90220</t>
  </si>
  <si>
    <t>312</t>
  </si>
  <si>
    <t>300</t>
  </si>
  <si>
    <t>СОЦИАЛЬНОЕ ОБЕСПЕЧЕНИЕ И ИНЫЕ ВЫПЛАТЫ НАСЕЛЕНИЮ</t>
  </si>
  <si>
    <t>Осуществление первичного воинского учета органами местного самоуправления поселений, муниципальных и городских округов</t>
  </si>
  <si>
    <t>00 0 00 00000</t>
  </si>
  <si>
    <t>ПЕНСИОННОЕ ОБЕСПЕЧЕНИЕ</t>
  </si>
  <si>
    <t xml:space="preserve">Уплата прочих налогов,сборов </t>
  </si>
  <si>
    <t xml:space="preserve">Прочая закупка товаров,работ,услуг </t>
  </si>
  <si>
    <t>ФИЗИЧЕСКАЯ КУЛЬТУРА и СПОРТ</t>
  </si>
  <si>
    <t xml:space="preserve"> ФИЗИЧЕСКАЯ КУЛЬТУРА</t>
  </si>
  <si>
    <t>Мероприятия в области физической культуры ( приобретение оборудования и создание плоскостных спорт.сооружений) (областной бюджет)</t>
  </si>
  <si>
    <t>222</t>
  </si>
  <si>
    <t>225</t>
  </si>
  <si>
    <t>Прочая закупка товаров,работ,услуг</t>
  </si>
  <si>
    <t>Защита населения и территории от чрезвычайных ситуаций природного и техногенного характера, пожарная безопасность</t>
  </si>
  <si>
    <t>264</t>
  </si>
  <si>
    <t xml:space="preserve"> 91 8 12 S2922</t>
  </si>
  <si>
    <t>343</t>
  </si>
  <si>
    <t>344</t>
  </si>
  <si>
    <t>346</t>
  </si>
  <si>
    <t>347</t>
  </si>
  <si>
    <t>Осуществление отдельных государственных полномочий в сфере водоснабжения и водоотведения</t>
  </si>
  <si>
    <t>Публичные нормативные социальные выплаты гражданам</t>
  </si>
  <si>
    <t>Мероприятия по реализации общественно значимых проектов по благоустройству сельских территорий (областной бюджет)</t>
  </si>
  <si>
    <t>Мероприятия по реализации общественно значимых проектов по благоустройству сельских территорий (местный бюджет)</t>
  </si>
  <si>
    <t>91 1 05 90220</t>
  </si>
  <si>
    <t>Перечень главных администраторов                                                                                                                                                                                     источников  финансирования    дефицита  бюджета муниципального образования "Гаханское"                                                                                                                                на 2022 год и на плановые периоды на 2023-2024 годы»</t>
  </si>
  <si>
    <t>2 02 16001 10 0000 150</t>
  </si>
  <si>
    <t>РЕАЛИЗАЦИЯ МЕРОПРИЯТИЙ ПЕРЕЧНЯ ПРОЕКТОВ НАРОДНЫХ ИНИЦИАТИВ (ОБЛАСТНОЙ БЮДЖЕТ)</t>
  </si>
  <si>
    <t>РЕАЛИЗАЦИЯ МЕРОПРИЯТИЙ ПЕРЕЧНЯ ПРОЕКТОВ НАРОДНЫХ ИНИЦИАТИВ (СОФИНАНСИРОВАНИЕ ИЗ МЕСТНОГО БЮДЖЕТА)</t>
  </si>
  <si>
    <t>Финансовое обеспечение выполнения функций главы муниципального образования</t>
  </si>
  <si>
    <t>Финансовое обеспечение досуговой деятельности</t>
  </si>
  <si>
    <t>Финансовое обеспечение библиотечной деятельности</t>
  </si>
  <si>
    <t>Финансовое обеспечение выполнения функций органов местного самоуправления</t>
  </si>
  <si>
    <t>Наименования администраторов  доходов поселения и администрируемых доходов</t>
  </si>
  <si>
    <t>Увеличение стоимости строительных  запасов</t>
  </si>
  <si>
    <t>Мероприятия по актуализации документов градостроительного зонирования (областной бюджет)</t>
  </si>
  <si>
    <t xml:space="preserve">Софинансирование мероприятия по актуализации документов градостроительного зонирования </t>
  </si>
  <si>
    <t>91 4 02 S2984</t>
  </si>
  <si>
    <t>МАССОВЫЙ СПОРТ</t>
  </si>
  <si>
    <t xml:space="preserve"> 91 8 13 90260</t>
  </si>
  <si>
    <t>224</t>
  </si>
  <si>
    <t>Аренда</t>
  </si>
  <si>
    <t xml:space="preserve">Увеличение стоимости основных средств </t>
  </si>
  <si>
    <t>Мероприятия в области массового спорта</t>
  </si>
  <si>
    <t>Транспортные расходы</t>
  </si>
  <si>
    <t>КОММУНАЛЬНОЕ ХОЗЯЙСТВО</t>
  </si>
  <si>
    <t>Развитие жилищно-коммунального хозяйства</t>
  </si>
  <si>
    <t>Реализация мероприятий в области коммунального хозяйства</t>
  </si>
  <si>
    <t>91 5 01 90170</t>
  </si>
  <si>
    <t>91 5 01 00000</t>
  </si>
  <si>
    <t>Транспортняе услуги</t>
  </si>
  <si>
    <t>ОБСЛУЖИВАНИЕ ВНУТРЕННЕГО ДОЛГА</t>
  </si>
  <si>
    <t>Расходы на 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</si>
  <si>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Реализация прочих мероприятий по благоустройству</t>
  </si>
  <si>
    <t>243</t>
  </si>
  <si>
    <t>Закупка товаров, работ, услуг в целях капитального ремонта государственного (муниципального) имущества</t>
  </si>
  <si>
    <t>Прочие работы</t>
  </si>
  <si>
    <t>ГСМ</t>
  </si>
  <si>
    <t xml:space="preserve">Софинансирование мероприятия в области физической культуры ( приобретение оборудования и создание плоскостных спорт.сооружений) </t>
  </si>
  <si>
    <t xml:space="preserve"> 91 8 13 90230</t>
  </si>
  <si>
    <t>000 1 11 05030 00 0000 120</t>
  </si>
  <si>
    <t>000 1 11 05035 10 0000 120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</si>
  <si>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</si>
  <si>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            бюджета муниципального образования "Гаханское"  на 2022 год и плановый период 2023-2024 гг.</t>
  </si>
  <si>
    <t xml:space="preserve"> Источники внутреннего финансирования дефицита</t>
  </si>
  <si>
    <r>
      <t>Приложение №</t>
    </r>
    <r>
      <rPr>
        <sz val="11"/>
        <color indexed="10"/>
        <rFont val="Courier New"/>
        <family val="3"/>
      </rPr>
      <t xml:space="preserve"> </t>
    </r>
    <r>
      <rPr>
        <sz val="11"/>
        <color indexed="8"/>
        <rFont val="Courier New"/>
        <family val="3"/>
      </rPr>
      <t>6</t>
    </r>
  </si>
  <si>
    <r>
      <t>СОЦИАЛЬНАЯ</t>
    </r>
    <r>
      <rPr>
        <sz val="11"/>
        <color indexed="8"/>
        <rFont val="Courier New"/>
        <family val="3"/>
      </rPr>
      <t xml:space="preserve"> </t>
    </r>
    <r>
      <rPr>
        <b/>
        <sz val="11"/>
        <color indexed="63"/>
        <rFont val="Courier New"/>
        <family val="3"/>
      </rPr>
      <t>ПОЛИТИКА</t>
    </r>
  </si>
  <si>
    <t>Поддержка муниципальных программ формирования современной городской среды (план 2021г: ФБ - 600128,89 руб., ОБ - 142254,25 руб. Всего: 742383,14 руб.)</t>
  </si>
  <si>
    <t>Мероприятия по актуализации документов градостроительного зонирования,всего</t>
  </si>
  <si>
    <t>Мероприятия по реализации общественно значимых проектов по благоустройству сельских территорий,всего</t>
  </si>
  <si>
    <t>РЕАЛИЗАЦИЯ МЕРОПРИЯТИЙ ПЕРЕЧНЯ ПРОЕКТОВ НАРОДНЫХ ИНИЦИАТИВ,ВСЕГО</t>
  </si>
  <si>
    <t>Ведомственная структура расходов бюджета муниципального образования "Гаханское" на 2022 год и плановый период 2022-2023 гг.</t>
  </si>
  <si>
    <t>к  решению Думы МО "Гаханское"  № 103 от 20 сентября  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t>
  </si>
  <si>
    <t>РЕАЛИЗАЦИЯ МЕРОПРИЯТИЙ ПЕРЕЧНЯ ПРОЕКТОВ НАРОДНЫХ ИНИЦИАТИВ (МЕСТНЫЙ БЮДЖЕТ)</t>
  </si>
  <si>
    <t>91 1 05 00000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</si>
  <si>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Courier New"/>
        <family val="3"/>
      </rPr>
      <t>1</t>
    </r>
    <r>
      <rPr>
        <sz val="11"/>
        <rFont val="Courier New"/>
        <family val="3"/>
      </rPr>
      <t xml:space="preserve"> и 228 Налогового кодекса Российской Федерации</t>
    </r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</si>
  <si>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</si>
  <si>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</si>
  <si>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Капитальные вложения в объекты государственной (муниципальной) собственности"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</si>
</sst>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0&quot;р.&quot;"/>
    <numFmt numFmtId="181" formatCode="0.0000"/>
    <numFmt numFmtId="182" formatCode="#,##0.0"/>
  </numFmts>
  <fonts count="8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b/>
      <sz val="9"/>
      <name val="Courier New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ourier New"/>
      <family val="3"/>
    </font>
    <font>
      <sz val="11"/>
      <color indexed="10"/>
      <name val="Courier New"/>
      <family val="3"/>
    </font>
    <font>
      <b/>
      <sz val="11"/>
      <color indexed="63"/>
      <name val="Courier New"/>
      <family val="3"/>
    </font>
    <font>
      <b/>
      <i/>
      <sz val="11"/>
      <name val="Courier New"/>
      <family val="3"/>
    </font>
    <font>
      <vertAlign val="superscript"/>
      <sz val="11"/>
      <name val="Courier New"/>
      <family val="3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0"/>
      <color indexed="10"/>
      <name val="Courier New"/>
      <family val="3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11"/>
      <color indexed="60"/>
      <name val="Courier New"/>
      <family val="3"/>
    </font>
    <font>
      <b/>
      <sz val="11"/>
      <color indexed="10"/>
      <name val="Courier New"/>
      <family val="3"/>
    </font>
    <font>
      <sz val="11"/>
      <color indexed="60"/>
      <name val="Courier New"/>
      <family val="3"/>
    </font>
    <font>
      <b/>
      <i/>
      <sz val="11"/>
      <color indexed="10"/>
      <name val="Courier New"/>
      <family val="3"/>
    </font>
    <font>
      <b/>
      <sz val="11"/>
      <color indexed="8"/>
      <name val="Courier New"/>
      <family val="3"/>
    </font>
    <font>
      <i/>
      <sz val="11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0"/>
      <color rgb="FFFF0000"/>
      <name val="Courier New"/>
      <family val="3"/>
    </font>
    <font>
      <sz val="10"/>
      <color theme="1"/>
      <name val="Arial Cyr"/>
      <family val="0"/>
    </font>
    <font>
      <b/>
      <sz val="10"/>
      <color rgb="FFFF0000"/>
      <name val="Arial Cyr"/>
      <family val="0"/>
    </font>
    <font>
      <sz val="11"/>
      <color theme="1"/>
      <name val="Courier New"/>
      <family val="3"/>
    </font>
    <font>
      <sz val="11"/>
      <color rgb="FFFF0000"/>
      <name val="Courier New"/>
      <family val="3"/>
    </font>
    <font>
      <b/>
      <sz val="11"/>
      <color rgb="FF26282F"/>
      <name val="Courier New"/>
      <family val="3"/>
    </font>
    <font>
      <b/>
      <sz val="11"/>
      <color rgb="FFC00000"/>
      <name val="Courier New"/>
      <family val="3"/>
    </font>
    <font>
      <b/>
      <sz val="11"/>
      <color rgb="FFFF0000"/>
      <name val="Courier New"/>
      <family val="3"/>
    </font>
    <font>
      <sz val="11"/>
      <color rgb="FFC00000"/>
      <name val="Courier New"/>
      <family val="3"/>
    </font>
    <font>
      <b/>
      <i/>
      <sz val="11"/>
      <color rgb="FFFF0000"/>
      <name val="Courier New"/>
      <family val="3"/>
    </font>
    <font>
      <b/>
      <sz val="11"/>
      <color theme="1"/>
      <name val="Courier New"/>
      <family val="3"/>
    </font>
    <font>
      <i/>
      <sz val="11"/>
      <color rgb="FFFF0000"/>
      <name val="Courier New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172" fontId="0" fillId="0" borderId="0" xfId="0" applyNumberFormat="1" applyAlignment="1">
      <alignment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72" fontId="0" fillId="0" borderId="11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4" fillId="0" borderId="22" xfId="0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justify" vertical="center" wrapText="1"/>
    </xf>
    <xf numFmtId="0" fontId="15" fillId="0" borderId="26" xfId="0" applyFont="1" applyBorder="1" applyAlignment="1">
      <alignment horizontal="justify" vertical="center" wrapText="1"/>
    </xf>
    <xf numFmtId="0" fontId="15" fillId="0" borderId="0" xfId="0" applyFont="1" applyAlignment="1">
      <alignment horizontal="justify"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5" fillId="0" borderId="22" xfId="0" applyFont="1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" fontId="0" fillId="0" borderId="0" xfId="0" applyNumberFormat="1" applyAlignment="1">
      <alignment vertical="center" wrapText="1"/>
    </xf>
    <xf numFmtId="0" fontId="6" fillId="0" borderId="27" xfId="0" applyFont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15" fillId="0" borderId="26" xfId="0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/>
    </xf>
    <xf numFmtId="3" fontId="13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0" fontId="0" fillId="0" borderId="0" xfId="0" applyFill="1" applyAlignment="1">
      <alignment/>
    </xf>
    <xf numFmtId="0" fontId="15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72" fillId="0" borderId="0" xfId="0" applyFont="1" applyAlignment="1">
      <alignment/>
    </xf>
    <xf numFmtId="0" fontId="16" fillId="0" borderId="28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27" xfId="0" applyFont="1" applyBorder="1" applyAlignment="1">
      <alignment horizontal="right" wrapText="1"/>
    </xf>
    <xf numFmtId="0" fontId="18" fillId="0" borderId="0" xfId="54" applyFont="1" applyFill="1" applyAlignment="1">
      <alignment horizontal="center" wrapText="1"/>
      <protection/>
    </xf>
    <xf numFmtId="0" fontId="18" fillId="0" borderId="0" xfId="54" applyFont="1" applyFill="1">
      <alignment/>
      <protection/>
    </xf>
    <xf numFmtId="0" fontId="18" fillId="0" borderId="0" xfId="54" applyFont="1" applyFill="1" applyAlignment="1">
      <alignment horizontal="right" vertical="center"/>
      <protection/>
    </xf>
    <xf numFmtId="0" fontId="17" fillId="35" borderId="15" xfId="0" applyFont="1" applyFill="1" applyBorder="1" applyAlignment="1">
      <alignment horizontal="left" vertical="center" wrapText="1" indent="1"/>
    </xf>
    <xf numFmtId="0" fontId="18" fillId="35" borderId="15" xfId="0" applyFont="1" applyFill="1" applyBorder="1" applyAlignment="1">
      <alignment horizontal="left" vertical="center" wrapText="1" indent="1"/>
    </xf>
    <xf numFmtId="0" fontId="18" fillId="35" borderId="15" xfId="54" applyFont="1" applyFill="1" applyBorder="1" applyAlignment="1">
      <alignment horizontal="left" vertical="center" wrapText="1" indent="1"/>
      <protection/>
    </xf>
    <xf numFmtId="0" fontId="18" fillId="35" borderId="15" xfId="0" applyFont="1" applyFill="1" applyBorder="1" applyAlignment="1">
      <alignment horizontal="right" vertical="center" wrapText="1" indent="1"/>
    </xf>
    <xf numFmtId="3" fontId="17" fillId="35" borderId="15" xfId="0" applyNumberFormat="1" applyFont="1" applyFill="1" applyBorder="1" applyAlignment="1">
      <alignment horizontal="right" vertical="center" wrapText="1" indent="1"/>
    </xf>
    <xf numFmtId="3" fontId="73" fillId="35" borderId="15" xfId="0" applyNumberFormat="1" applyFont="1" applyFill="1" applyBorder="1" applyAlignment="1">
      <alignment horizontal="right" vertical="center" wrapText="1" indent="1"/>
    </xf>
    <xf numFmtId="3" fontId="17" fillId="35" borderId="15" xfId="0" applyNumberFormat="1" applyFont="1" applyFill="1" applyBorder="1" applyAlignment="1" applyProtection="1">
      <alignment horizontal="right" vertical="center" wrapText="1" indent="1"/>
      <protection/>
    </xf>
    <xf numFmtId="182" fontId="18" fillId="35" borderId="15" xfId="54" applyNumberFormat="1" applyFont="1" applyFill="1" applyBorder="1" applyAlignment="1">
      <alignment horizontal="right" vertical="center" wrapText="1" indent="1"/>
      <protection/>
    </xf>
    <xf numFmtId="182" fontId="18" fillId="35" borderId="15" xfId="0" applyNumberFormat="1" applyFont="1" applyFill="1" applyBorder="1" applyAlignment="1">
      <alignment horizontal="center" vertical="center" wrapText="1"/>
    </xf>
    <xf numFmtId="4" fontId="72" fillId="0" borderId="0" xfId="0" applyNumberFormat="1" applyFont="1" applyAlignment="1">
      <alignment/>
    </xf>
    <xf numFmtId="0" fontId="74" fillId="0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4" fontId="74" fillId="36" borderId="17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2" fontId="76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4" fontId="76" fillId="35" borderId="0" xfId="0" applyNumberFormat="1" applyFont="1" applyFill="1" applyAlignment="1">
      <alignment/>
    </xf>
    <xf numFmtId="0" fontId="15" fillId="0" borderId="2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15" fillId="0" borderId="3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 wrapText="1"/>
    </xf>
    <xf numFmtId="4" fontId="15" fillId="0" borderId="22" xfId="0" applyNumberFormat="1" applyFont="1" applyBorder="1" applyAlignment="1">
      <alignment horizontal="center"/>
    </xf>
    <xf numFmtId="4" fontId="15" fillId="0" borderId="26" xfId="0" applyNumberFormat="1" applyFont="1" applyBorder="1" applyAlignment="1">
      <alignment horizontal="center" vertical="center"/>
    </xf>
    <xf numFmtId="0" fontId="15" fillId="35" borderId="26" xfId="0" applyFont="1" applyFill="1" applyBorder="1" applyAlignment="1">
      <alignment wrapText="1"/>
    </xf>
    <xf numFmtId="0" fontId="15" fillId="35" borderId="24" xfId="0" applyFont="1" applyFill="1" applyBorder="1" applyAlignment="1">
      <alignment horizontal="center" wrapText="1"/>
    </xf>
    <xf numFmtId="4" fontId="15" fillId="35" borderId="26" xfId="0" applyNumberFormat="1" applyFont="1" applyFill="1" applyBorder="1" applyAlignment="1">
      <alignment horizontal="center"/>
    </xf>
    <xf numFmtId="0" fontId="15" fillId="35" borderId="26" xfId="0" applyFont="1" applyFill="1" applyBorder="1" applyAlignment="1">
      <alignment horizontal="left" wrapText="1"/>
    </xf>
    <xf numFmtId="0" fontId="21" fillId="35" borderId="26" xfId="0" applyFont="1" applyFill="1" applyBorder="1" applyAlignment="1">
      <alignment horizontal="left" wrapText="1"/>
    </xf>
    <xf numFmtId="0" fontId="21" fillId="35" borderId="24" xfId="0" applyFont="1" applyFill="1" applyBorder="1" applyAlignment="1">
      <alignment horizontal="center" wrapText="1"/>
    </xf>
    <xf numFmtId="0" fontId="15" fillId="35" borderId="22" xfId="0" applyFont="1" applyFill="1" applyBorder="1" applyAlignment="1">
      <alignment horizontal="left" wrapText="1"/>
    </xf>
    <xf numFmtId="0" fontId="15" fillId="35" borderId="22" xfId="0" applyFont="1" applyFill="1" applyBorder="1" applyAlignment="1">
      <alignment horizontal="center" wrapText="1"/>
    </xf>
    <xf numFmtId="4" fontId="15" fillId="35" borderId="22" xfId="0" applyNumberFormat="1" applyFont="1" applyFill="1" applyBorder="1" applyAlignment="1">
      <alignment horizontal="center"/>
    </xf>
    <xf numFmtId="0" fontId="15" fillId="0" borderId="22" xfId="0" applyFont="1" applyBorder="1" applyAlignment="1">
      <alignment horizontal="justify"/>
    </xf>
    <xf numFmtId="4" fontId="15" fillId="0" borderId="24" xfId="0" applyNumberFormat="1" applyFont="1" applyBorder="1" applyAlignment="1">
      <alignment horizontal="center"/>
    </xf>
    <xf numFmtId="0" fontId="15" fillId="0" borderId="23" xfId="0" applyFont="1" applyBorder="1" applyAlignment="1">
      <alignment wrapText="1"/>
    </xf>
    <xf numFmtId="4" fontId="15" fillId="0" borderId="27" xfId="0" applyNumberFormat="1" applyFont="1" applyBorder="1" applyAlignment="1">
      <alignment horizontal="center"/>
    </xf>
    <xf numFmtId="0" fontId="15" fillId="0" borderId="0" xfId="0" applyFont="1" applyAlignment="1">
      <alignment vertical="top"/>
    </xf>
    <xf numFmtId="0" fontId="14" fillId="0" borderId="11" xfId="54" applyFont="1" applyFill="1" applyBorder="1" applyAlignment="1">
      <alignment horizontal="center" vertical="top" wrapText="1"/>
      <protection/>
    </xf>
    <xf numFmtId="0" fontId="14" fillId="35" borderId="15" xfId="0" applyFont="1" applyFill="1" applyBorder="1" applyAlignment="1">
      <alignment horizontal="left" vertical="center" wrapText="1" indent="1"/>
    </xf>
    <xf numFmtId="0" fontId="15" fillId="35" borderId="15" xfId="0" applyFont="1" applyFill="1" applyBorder="1" applyAlignment="1">
      <alignment horizontal="left" vertical="center" wrapText="1" indent="1"/>
    </xf>
    <xf numFmtId="0" fontId="14" fillId="35" borderId="15" xfId="54" applyFont="1" applyFill="1" applyBorder="1" applyAlignment="1">
      <alignment horizontal="left" vertical="center" wrapText="1" indent="1"/>
      <protection/>
    </xf>
    <xf numFmtId="0" fontId="14" fillId="35" borderId="15" xfId="54" applyFont="1" applyFill="1" applyBorder="1" applyAlignment="1">
      <alignment horizontal="right" vertical="center" wrapText="1" indent="1"/>
      <protection/>
    </xf>
    <xf numFmtId="4" fontId="15" fillId="35" borderId="15" xfId="54" applyNumberFormat="1" applyFont="1" applyFill="1" applyBorder="1" applyAlignment="1">
      <alignment horizontal="right" vertical="center" wrapText="1" indent="1"/>
      <protection/>
    </xf>
    <xf numFmtId="0" fontId="15" fillId="35" borderId="15" xfId="54" applyFont="1" applyFill="1" applyBorder="1" applyAlignment="1">
      <alignment horizontal="right" vertical="center" wrapText="1" indent="1"/>
      <protection/>
    </xf>
    <xf numFmtId="4" fontId="14" fillId="35" borderId="15" xfId="54" applyNumberFormat="1" applyFont="1" applyFill="1" applyBorder="1" applyAlignment="1" applyProtection="1">
      <alignment horizontal="right" vertical="center" wrapText="1" indent="1"/>
      <protection/>
    </xf>
    <xf numFmtId="4" fontId="14" fillId="35" borderId="15" xfId="54" applyNumberFormat="1" applyFont="1" applyFill="1" applyBorder="1" applyAlignment="1">
      <alignment horizontal="right" vertical="center" wrapText="1" indent="1"/>
      <protection/>
    </xf>
    <xf numFmtId="0" fontId="15" fillId="35" borderId="15" xfId="54" applyFont="1" applyFill="1" applyBorder="1" applyAlignment="1">
      <alignment horizontal="left" vertical="center" wrapText="1" indent="1"/>
      <protection/>
    </xf>
    <xf numFmtId="4" fontId="15" fillId="35" borderId="15" xfId="54" applyNumberFormat="1" applyFont="1" applyFill="1" applyBorder="1" applyAlignment="1">
      <alignment horizontal="left" vertical="center" wrapText="1" indent="1"/>
      <protection/>
    </xf>
    <xf numFmtId="0" fontId="14" fillId="35" borderId="15" xfId="0" applyFont="1" applyFill="1" applyBorder="1" applyAlignment="1">
      <alignment horizontal="right" vertical="center" wrapText="1" indent="1"/>
    </xf>
    <xf numFmtId="4" fontId="15" fillId="35" borderId="15" xfId="0" applyNumberFormat="1" applyFont="1" applyFill="1" applyBorder="1" applyAlignment="1">
      <alignment horizontal="right" vertical="center" wrapText="1" indent="1"/>
    </xf>
    <xf numFmtId="0" fontId="15" fillId="35" borderId="15" xfId="0" applyFont="1" applyFill="1" applyBorder="1" applyAlignment="1">
      <alignment horizontal="right" vertical="center" wrapText="1" indent="1"/>
    </xf>
    <xf numFmtId="4" fontId="14" fillId="35" borderId="15" xfId="0" applyNumberFormat="1" applyFont="1" applyFill="1" applyBorder="1" applyAlignment="1" applyProtection="1">
      <alignment horizontal="right" vertical="center" wrapText="1" indent="1"/>
      <protection/>
    </xf>
    <xf numFmtId="4" fontId="14" fillId="35" borderId="15" xfId="0" applyNumberFormat="1" applyFont="1" applyFill="1" applyBorder="1" applyAlignment="1">
      <alignment horizontal="right" vertical="center" wrapText="1" indent="1"/>
    </xf>
    <xf numFmtId="182" fontId="15" fillId="35" borderId="15" xfId="0" applyNumberFormat="1" applyFont="1" applyFill="1" applyBorder="1" applyAlignment="1">
      <alignment horizontal="right" vertical="center" wrapText="1" indent="1"/>
    </xf>
    <xf numFmtId="0" fontId="15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77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wrapText="1"/>
    </xf>
    <xf numFmtId="0" fontId="78" fillId="0" borderId="15" xfId="0" applyFont="1" applyBorder="1" applyAlignment="1">
      <alignment wrapText="1"/>
    </xf>
    <xf numFmtId="0" fontId="79" fillId="35" borderId="15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4" fontId="80" fillId="0" borderId="15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4" fontId="14" fillId="35" borderId="15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4" fontId="15" fillId="36" borderId="15" xfId="0" applyNumberFormat="1" applyFont="1" applyFill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0" fontId="78" fillId="0" borderId="15" xfId="0" applyFont="1" applyBorder="1" applyAlignment="1">
      <alignment horizontal="left" vertical="center" wrapText="1"/>
    </xf>
    <xf numFmtId="0" fontId="81" fillId="0" borderId="15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4" fontId="78" fillId="36" borderId="15" xfId="0" applyNumberFormat="1" applyFont="1" applyFill="1" applyBorder="1" applyAlignment="1">
      <alignment horizontal="center" vertical="center"/>
    </xf>
    <xf numFmtId="3" fontId="78" fillId="36" borderId="15" xfId="0" applyNumberFormat="1" applyFont="1" applyFill="1" applyBorder="1" applyAlignment="1">
      <alignment horizontal="center" vertical="center"/>
    </xf>
    <xf numFmtId="4" fontId="80" fillId="35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4" fontId="15" fillId="35" borderId="15" xfId="0" applyNumberFormat="1" applyFont="1" applyFill="1" applyBorder="1" applyAlignment="1">
      <alignment horizontal="center" vertical="center"/>
    </xf>
    <xf numFmtId="4" fontId="78" fillId="35" borderId="15" xfId="0" applyNumberFormat="1" applyFont="1" applyFill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" fontId="82" fillId="35" borderId="15" xfId="0" applyNumberFormat="1" applyFont="1" applyFill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0" fontId="82" fillId="0" borderId="15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4" fontId="82" fillId="0" borderId="15" xfId="0" applyNumberFormat="1" applyFont="1" applyBorder="1" applyAlignment="1">
      <alignment horizontal="center" vertical="center"/>
    </xf>
    <xf numFmtId="0" fontId="82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4" fontId="15" fillId="0" borderId="15" xfId="0" applyNumberFormat="1" applyFont="1" applyFill="1" applyBorder="1" applyAlignment="1">
      <alignment horizontal="center" vertical="center"/>
    </xf>
    <xf numFmtId="171" fontId="77" fillId="0" borderId="15" xfId="62" applyFont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/>
    </xf>
    <xf numFmtId="4" fontId="14" fillId="34" borderId="15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83" fillId="0" borderId="15" xfId="0" applyFont="1" applyBorder="1" applyAlignment="1">
      <alignment horizontal="left" vertical="center" wrapText="1"/>
    </xf>
    <xf numFmtId="0" fontId="14" fillId="35" borderId="15" xfId="0" applyFont="1" applyFill="1" applyBorder="1" applyAlignment="1">
      <alignment horizontal="left" vertical="center" wrapText="1"/>
    </xf>
    <xf numFmtId="49" fontId="14" fillId="35" borderId="15" xfId="0" applyNumberFormat="1" applyFont="1" applyFill="1" applyBorder="1" applyAlignment="1">
      <alignment horizontal="center" vertical="center"/>
    </xf>
    <xf numFmtId="4" fontId="84" fillId="35" borderId="15" xfId="0" applyNumberFormat="1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49" fontId="15" fillId="33" borderId="15" xfId="0" applyNumberFormat="1" applyFont="1" applyFill="1" applyBorder="1" applyAlignment="1">
      <alignment horizontal="center" vertical="center"/>
    </xf>
    <xf numFmtId="4" fontId="15" fillId="33" borderId="15" xfId="0" applyNumberFormat="1" applyFont="1" applyFill="1" applyBorder="1" applyAlignment="1">
      <alignment horizontal="center" vertical="center"/>
    </xf>
    <xf numFmtId="4" fontId="84" fillId="36" borderId="15" xfId="0" applyNumberFormat="1" applyFont="1" applyFill="1" applyBorder="1" applyAlignment="1">
      <alignment horizontal="center" vertical="center"/>
    </xf>
    <xf numFmtId="49" fontId="78" fillId="0" borderId="15" xfId="0" applyNumberFormat="1" applyFont="1" applyBorder="1" applyAlignment="1">
      <alignment horizontal="center" vertical="center"/>
    </xf>
    <xf numFmtId="49" fontId="15" fillId="35" borderId="15" xfId="0" applyNumberFormat="1" applyFont="1" applyFill="1" applyBorder="1" applyAlignment="1">
      <alignment horizontal="center" vertical="center"/>
    </xf>
    <xf numFmtId="0" fontId="77" fillId="35" borderId="15" xfId="0" applyFont="1" applyFill="1" applyBorder="1" applyAlignment="1">
      <alignment wrapText="1"/>
    </xf>
    <xf numFmtId="49" fontId="84" fillId="35" borderId="15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4" fillId="35" borderId="15" xfId="0" applyFont="1" applyFill="1" applyBorder="1" applyAlignment="1">
      <alignment vertical="top" wrapText="1"/>
    </xf>
    <xf numFmtId="49" fontId="15" fillId="35" borderId="15" xfId="0" applyNumberFormat="1" applyFont="1" applyFill="1" applyBorder="1" applyAlignment="1">
      <alignment horizontal="center"/>
    </xf>
    <xf numFmtId="49" fontId="81" fillId="35" borderId="15" xfId="0" applyNumberFormat="1" applyFont="1" applyFill="1" applyBorder="1" applyAlignment="1">
      <alignment horizontal="center" vertical="center"/>
    </xf>
    <xf numFmtId="0" fontId="78" fillId="35" borderId="15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left" vertical="top" wrapText="1"/>
    </xf>
    <xf numFmtId="49" fontId="77" fillId="34" borderId="15" xfId="0" applyNumberFormat="1" applyFont="1" applyFill="1" applyBorder="1" applyAlignment="1">
      <alignment horizontal="center" vertical="center"/>
    </xf>
    <xf numFmtId="49" fontId="15" fillId="34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left" vertical="top" wrapText="1"/>
    </xf>
    <xf numFmtId="0" fontId="14" fillId="34" borderId="15" xfId="0" applyFont="1" applyFill="1" applyBorder="1" applyAlignment="1">
      <alignment vertical="top" wrapText="1"/>
    </xf>
    <xf numFmtId="4" fontId="78" fillId="0" borderId="15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49" fontId="78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4" fontId="80" fillId="36" borderId="15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49" fontId="78" fillId="0" borderId="15" xfId="0" applyNumberFormat="1" applyFont="1" applyFill="1" applyBorder="1" applyAlignment="1">
      <alignment horizontal="center" vertical="center" wrapText="1"/>
    </xf>
    <xf numFmtId="4" fontId="82" fillId="36" borderId="15" xfId="0" applyNumberFormat="1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left" vertical="center" wrapText="1"/>
    </xf>
    <xf numFmtId="49" fontId="15" fillId="35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4" fillId="35" borderId="15" xfId="0" applyNumberFormat="1" applyFont="1" applyFill="1" applyBorder="1" applyAlignment="1">
      <alignment horizontal="center" vertical="center" wrapText="1"/>
    </xf>
    <xf numFmtId="49" fontId="81" fillId="0" borderId="15" xfId="0" applyNumberFormat="1" applyFont="1" applyFill="1" applyBorder="1" applyAlignment="1">
      <alignment horizontal="center" vertical="center" wrapText="1"/>
    </xf>
    <xf numFmtId="4" fontId="81" fillId="36" borderId="15" xfId="0" applyNumberFormat="1" applyFont="1" applyFill="1" applyBorder="1" applyAlignment="1">
      <alignment horizontal="center" vertical="center"/>
    </xf>
    <xf numFmtId="4" fontId="81" fillId="35" borderId="15" xfId="0" applyNumberFormat="1" applyFont="1" applyFill="1" applyBorder="1" applyAlignment="1">
      <alignment horizontal="center" vertical="center"/>
    </xf>
    <xf numFmtId="0" fontId="77" fillId="35" borderId="15" xfId="0" applyFont="1" applyFill="1" applyBorder="1" applyAlignment="1">
      <alignment horizontal="center" vertical="center"/>
    </xf>
    <xf numFmtId="49" fontId="77" fillId="35" borderId="15" xfId="0" applyNumberFormat="1" applyFont="1" applyFill="1" applyBorder="1" applyAlignment="1">
      <alignment horizontal="center" vertical="center"/>
    </xf>
    <xf numFmtId="4" fontId="77" fillId="35" borderId="15" xfId="0" applyNumberFormat="1" applyFont="1" applyFill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49" fontId="77" fillId="0" borderId="15" xfId="0" applyNumberFormat="1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8" fillId="34" borderId="15" xfId="0" applyFont="1" applyFill="1" applyBorder="1" applyAlignment="1">
      <alignment horizontal="left" vertical="center" wrapText="1"/>
    </xf>
    <xf numFmtId="0" fontId="78" fillId="34" borderId="15" xfId="0" applyFont="1" applyFill="1" applyBorder="1" applyAlignment="1">
      <alignment vertical="top" wrapText="1"/>
    </xf>
    <xf numFmtId="0" fontId="78" fillId="0" borderId="15" xfId="0" applyFont="1" applyFill="1" applyBorder="1" applyAlignment="1">
      <alignment horizontal="center" vertical="center"/>
    </xf>
    <xf numFmtId="0" fontId="84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49" fontId="15" fillId="0" borderId="15" xfId="0" applyNumberFormat="1" applyFont="1" applyBorder="1" applyAlignment="1">
      <alignment wrapText="1"/>
    </xf>
    <xf numFmtId="0" fontId="14" fillId="0" borderId="15" xfId="0" applyFont="1" applyBorder="1" applyAlignment="1" applyProtection="1">
      <alignment wrapText="1"/>
      <protection locked="0"/>
    </xf>
    <xf numFmtId="0" fontId="15" fillId="0" borderId="15" xfId="0" applyFont="1" applyBorder="1" applyAlignment="1" applyProtection="1">
      <alignment wrapText="1"/>
      <protection locked="0"/>
    </xf>
    <xf numFmtId="0" fontId="85" fillId="0" borderId="15" xfId="0" applyFont="1" applyFill="1" applyBorder="1" applyAlignment="1">
      <alignment horizontal="left" vertical="center" wrapText="1"/>
    </xf>
    <xf numFmtId="49" fontId="81" fillId="0" borderId="15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0" fontId="78" fillId="0" borderId="0" xfId="0" applyFont="1" applyAlignment="1">
      <alignment wrapText="1"/>
    </xf>
    <xf numFmtId="4" fontId="21" fillId="36" borderId="15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left" vertical="center" wrapText="1"/>
    </xf>
    <xf numFmtId="3" fontId="15" fillId="36" borderId="15" xfId="0" applyNumberFormat="1" applyFont="1" applyFill="1" applyBorder="1" applyAlignment="1">
      <alignment horizontal="center" vertical="center"/>
    </xf>
    <xf numFmtId="0" fontId="14" fillId="37" borderId="32" xfId="0" applyFont="1" applyFill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78" fillId="0" borderId="32" xfId="0" applyFont="1" applyBorder="1" applyAlignment="1">
      <alignment horizontal="left" vertical="center" wrapText="1"/>
    </xf>
    <xf numFmtId="0" fontId="85" fillId="0" borderId="32" xfId="0" applyFont="1" applyBorder="1" applyAlignment="1">
      <alignment horizontal="left" vertical="center" wrapText="1"/>
    </xf>
    <xf numFmtId="0" fontId="85" fillId="0" borderId="32" xfId="0" applyFont="1" applyBorder="1" applyAlignment="1">
      <alignment wrapText="1"/>
    </xf>
    <xf numFmtId="0" fontId="15" fillId="0" borderId="22" xfId="0" applyFont="1" applyBorder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4" fontId="14" fillId="35" borderId="23" xfId="0" applyNumberFormat="1" applyFont="1" applyFill="1" applyBorder="1" applyAlignment="1">
      <alignment horizontal="center"/>
    </xf>
    <xf numFmtId="4" fontId="14" fillId="35" borderId="33" xfId="0" applyNumberFormat="1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2" xfId="0" applyFont="1" applyBorder="1" applyAlignment="1">
      <alignment/>
    </xf>
    <xf numFmtId="4" fontId="14" fillId="0" borderId="23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14" fillId="0" borderId="23" xfId="0" applyFont="1" applyBorder="1" applyAlignment="1">
      <alignment horizontal="left" wrapText="1"/>
    </xf>
    <xf numFmtId="4" fontId="14" fillId="0" borderId="26" xfId="0" applyNumberFormat="1" applyFont="1" applyBorder="1" applyAlignment="1">
      <alignment horizontal="center"/>
    </xf>
    <xf numFmtId="0" fontId="15" fillId="0" borderId="22" xfId="0" applyFont="1" applyBorder="1" applyAlignment="1">
      <alignment wrapText="1"/>
    </xf>
    <xf numFmtId="4" fontId="15" fillId="0" borderId="28" xfId="0" applyNumberFormat="1" applyFont="1" applyBorder="1" applyAlignment="1">
      <alignment horizontal="center" wrapText="1"/>
    </xf>
    <xf numFmtId="4" fontId="15" fillId="0" borderId="36" xfId="0" applyNumberFormat="1" applyFont="1" applyBorder="1" applyAlignment="1">
      <alignment horizontal="center"/>
    </xf>
    <xf numFmtId="4" fontId="15" fillId="0" borderId="26" xfId="0" applyNumberFormat="1" applyFont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4" fillId="0" borderId="30" xfId="0" applyFont="1" applyBorder="1" applyAlignment="1">
      <alignment wrapText="1"/>
    </xf>
    <xf numFmtId="4" fontId="14" fillId="35" borderId="28" xfId="0" applyNumberFormat="1" applyFont="1" applyFill="1" applyBorder="1" applyAlignment="1">
      <alignment horizontal="center"/>
    </xf>
    <xf numFmtId="4" fontId="14" fillId="35" borderId="22" xfId="0" applyNumberFormat="1" applyFont="1" applyFill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30" xfId="0" applyFont="1" applyBorder="1" applyAlignment="1">
      <alignment horizontal="left" wrapText="1"/>
    </xf>
    <xf numFmtId="4" fontId="15" fillId="35" borderId="23" xfId="0" applyNumberFormat="1" applyFont="1" applyFill="1" applyBorder="1" applyAlignment="1">
      <alignment horizontal="center"/>
    </xf>
    <xf numFmtId="4" fontId="15" fillId="35" borderId="40" xfId="0" applyNumberFormat="1" applyFont="1" applyFill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22" xfId="0" applyFont="1" applyBorder="1" applyAlignment="1">
      <alignment horizontal="left" wrapText="1"/>
    </xf>
    <xf numFmtId="4" fontId="15" fillId="0" borderId="23" xfId="0" applyNumberFormat="1" applyFont="1" applyBorder="1" applyAlignment="1">
      <alignment horizontal="center"/>
    </xf>
    <xf numFmtId="4" fontId="15" fillId="0" borderId="28" xfId="0" applyNumberFormat="1" applyFont="1" applyBorder="1" applyAlignment="1">
      <alignment horizontal="center"/>
    </xf>
    <xf numFmtId="4" fontId="15" fillId="0" borderId="40" xfId="0" applyNumberFormat="1" applyFont="1" applyBorder="1" applyAlignment="1">
      <alignment horizontal="center"/>
    </xf>
    <xf numFmtId="0" fontId="14" fillId="0" borderId="22" xfId="0" applyFont="1" applyBorder="1" applyAlignment="1">
      <alignment horizontal="left" wrapText="1"/>
    </xf>
    <xf numFmtId="4" fontId="14" fillId="0" borderId="28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23" xfId="0" applyFont="1" applyBorder="1" applyAlignment="1">
      <alignment horizontal="left" wrapText="1"/>
    </xf>
    <xf numFmtId="4" fontId="15" fillId="0" borderId="43" xfId="0" applyNumberFormat="1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3" fontId="14" fillId="0" borderId="11" xfId="53" applyNumberFormat="1" applyFont="1" applyFill="1" applyBorder="1" applyAlignment="1" applyProtection="1">
      <alignment horizontal="center" vertical="center" wrapText="1"/>
      <protection/>
    </xf>
    <xf numFmtId="3" fontId="14" fillId="0" borderId="22" xfId="53" applyNumberFormat="1" applyFont="1" applyFill="1" applyBorder="1" applyAlignment="1" applyProtection="1">
      <alignment horizontal="left" vertical="center" wrapText="1"/>
      <protection locked="0"/>
    </xf>
    <xf numFmtId="3" fontId="15" fillId="0" borderId="44" xfId="53" applyNumberFormat="1" applyFont="1" applyFill="1" applyBorder="1" applyAlignment="1" applyProtection="1">
      <alignment horizontal="center" vertical="center" wrapText="1"/>
      <protection/>
    </xf>
    <xf numFmtId="3" fontId="15" fillId="0" borderId="22" xfId="53" applyNumberFormat="1" applyFont="1" applyFill="1" applyBorder="1" applyAlignment="1" applyProtection="1">
      <alignment vertical="center" wrapText="1"/>
      <protection locked="0"/>
    </xf>
    <xf numFmtId="3" fontId="15" fillId="0" borderId="45" xfId="53" applyNumberFormat="1" applyFont="1" applyFill="1" applyBorder="1" applyAlignment="1" applyProtection="1">
      <alignment horizontal="center" vertical="center" wrapText="1"/>
      <protection/>
    </xf>
    <xf numFmtId="3" fontId="15" fillId="0" borderId="46" xfId="53" applyNumberFormat="1" applyFont="1" applyFill="1" applyBorder="1" applyAlignment="1" applyProtection="1">
      <alignment horizontal="center" vertical="center" wrapText="1"/>
      <protection/>
    </xf>
    <xf numFmtId="3" fontId="15" fillId="0" borderId="26" xfId="53" applyNumberFormat="1" applyFont="1" applyFill="1" applyBorder="1" applyAlignment="1" applyProtection="1">
      <alignment vertical="center" wrapText="1"/>
      <protection locked="0"/>
    </xf>
    <xf numFmtId="0" fontId="14" fillId="35" borderId="22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0" fontId="14" fillId="0" borderId="22" xfId="0" applyFont="1" applyBorder="1" applyAlignment="1">
      <alignment wrapText="1"/>
    </xf>
    <xf numFmtId="0" fontId="15" fillId="0" borderId="28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left" wrapText="1"/>
    </xf>
    <xf numFmtId="4" fontId="15" fillId="0" borderId="23" xfId="0" applyNumberFormat="1" applyFont="1" applyFill="1" applyBorder="1" applyAlignment="1">
      <alignment horizontal="center"/>
    </xf>
    <xf numFmtId="4" fontId="15" fillId="0" borderId="26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 horizontal="center"/>
    </xf>
    <xf numFmtId="4" fontId="15" fillId="0" borderId="22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/>
    </xf>
    <xf numFmtId="4" fontId="14" fillId="0" borderId="23" xfId="0" applyNumberFormat="1" applyFont="1" applyFill="1" applyBorder="1" applyAlignment="1">
      <alignment horizontal="center"/>
    </xf>
    <xf numFmtId="4" fontId="14" fillId="0" borderId="26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vertical="center" wrapText="1"/>
    </xf>
    <xf numFmtId="4" fontId="14" fillId="0" borderId="28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 wrapText="1"/>
    </xf>
    <xf numFmtId="4" fontId="15" fillId="0" borderId="36" xfId="0" applyNumberFormat="1" applyFont="1" applyFill="1" applyBorder="1" applyAlignment="1">
      <alignment horizontal="center"/>
    </xf>
    <xf numFmtId="4" fontId="15" fillId="0" borderId="40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left" wrapText="1"/>
    </xf>
    <xf numFmtId="0" fontId="15" fillId="0" borderId="26" xfId="0" applyFont="1" applyBorder="1" applyAlignment="1">
      <alignment horizontal="left" wrapText="1"/>
    </xf>
    <xf numFmtId="0" fontId="14" fillId="35" borderId="26" xfId="0" applyFont="1" applyFill="1" applyBorder="1" applyAlignment="1">
      <alignment horizontal="center" wrapText="1"/>
    </xf>
    <xf numFmtId="4" fontId="14" fillId="35" borderId="26" xfId="0" applyNumberFormat="1" applyFont="1" applyFill="1" applyBorder="1" applyAlignment="1">
      <alignment horizontal="center"/>
    </xf>
    <xf numFmtId="0" fontId="14" fillId="0" borderId="40" xfId="0" applyFont="1" applyBorder="1" applyAlignment="1">
      <alignment horizontal="center" wrapText="1"/>
    </xf>
    <xf numFmtId="4" fontId="14" fillId="0" borderId="36" xfId="0" applyNumberFormat="1" applyFont="1" applyFill="1" applyBorder="1" applyAlignment="1">
      <alignment horizontal="center"/>
    </xf>
    <xf numFmtId="4" fontId="14" fillId="0" borderId="40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horizontal="center" wrapText="1"/>
    </xf>
    <xf numFmtId="0" fontId="26" fillId="0" borderId="15" xfId="0" applyFont="1" applyBorder="1" applyAlignment="1">
      <alignment wrapText="1"/>
    </xf>
    <xf numFmtId="0" fontId="26" fillId="0" borderId="15" xfId="0" applyFont="1" applyBorder="1" applyAlignment="1">
      <alignment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5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19" fillId="0" borderId="0" xfId="54" applyFont="1" applyFill="1" applyAlignment="1">
      <alignment horizontal="center" wrapText="1"/>
      <protection/>
    </xf>
    <xf numFmtId="0" fontId="15" fillId="0" borderId="0" xfId="0" applyFont="1" applyAlignment="1">
      <alignment/>
    </xf>
    <xf numFmtId="0" fontId="15" fillId="0" borderId="3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5" fillId="0" borderId="30" xfId="0" applyNumberFormat="1" applyFont="1" applyBorder="1" applyAlignment="1">
      <alignment horizontal="center" vertical="center" wrapText="1"/>
    </xf>
    <xf numFmtId="49" fontId="15" fillId="0" borderId="40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justify" vertical="center" wrapText="1"/>
    </xf>
    <xf numFmtId="0" fontId="15" fillId="0" borderId="40" xfId="0" applyFont="1" applyBorder="1" applyAlignment="1">
      <alignment horizontal="justify" vertical="center" wrapText="1"/>
    </xf>
    <xf numFmtId="0" fontId="15" fillId="0" borderId="26" xfId="0" applyFont="1" applyBorder="1" applyAlignment="1">
      <alignment horizontal="justify" vertical="center" wrapText="1"/>
    </xf>
    <xf numFmtId="0" fontId="19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28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14" fillId="0" borderId="41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2" fillId="0" borderId="27" xfId="0" applyFont="1" applyBorder="1" applyAlignment="1">
      <alignment/>
    </xf>
    <xf numFmtId="0" fontId="14" fillId="0" borderId="4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0" borderId="55" xfId="0" applyFont="1" applyBorder="1" applyAlignment="1">
      <alignment/>
    </xf>
    <xf numFmtId="0" fontId="14" fillId="0" borderId="4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center"/>
    </xf>
    <xf numFmtId="0" fontId="15" fillId="35" borderId="35" xfId="0" applyFont="1" applyFill="1" applyBorder="1" applyAlignment="1">
      <alignment horizontal="center"/>
    </xf>
    <xf numFmtId="0" fontId="14" fillId="35" borderId="28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1"/>
  <sheetViews>
    <sheetView showGridLines="0" workbookViewId="0" topLeftCell="A261">
      <selection activeCell="I264" sqref="I264"/>
    </sheetView>
  </sheetViews>
  <sheetFormatPr defaultColWidth="9.00390625" defaultRowHeight="12.75"/>
  <cols>
    <col min="1" max="1" width="40.00390625" style="0" customWidth="1"/>
    <col min="2" max="2" width="6.625" style="0" customWidth="1"/>
    <col min="3" max="4" width="6.875" style="0" customWidth="1"/>
    <col min="5" max="5" width="13.625" style="0" hidden="1" customWidth="1"/>
    <col min="6" max="6" width="18.75390625" style="0" customWidth="1"/>
    <col min="7" max="7" width="10.125" style="0" customWidth="1"/>
    <col min="8" max="8" width="10.125" style="0" hidden="1" customWidth="1"/>
    <col min="9" max="9" width="18.625" style="0" customWidth="1"/>
    <col min="10" max="10" width="18.25390625" style="0" customWidth="1"/>
    <col min="11" max="11" width="18.00390625" style="0" customWidth="1"/>
    <col min="13" max="13" width="12.75390625" style="0" bestFit="1" customWidth="1"/>
    <col min="14" max="14" width="12.375" style="0" customWidth="1"/>
    <col min="15" max="15" width="14.375" style="0" customWidth="1"/>
    <col min="16" max="16" width="10.625" style="0" bestFit="1" customWidth="1"/>
  </cols>
  <sheetData>
    <row r="2" spans="3:11" ht="15">
      <c r="C2" s="57"/>
      <c r="D2" s="57"/>
      <c r="E2" s="363" t="s">
        <v>215</v>
      </c>
      <c r="F2" s="363"/>
      <c r="G2" s="363"/>
      <c r="H2" s="363"/>
      <c r="I2" s="363"/>
      <c r="J2" s="364"/>
      <c r="K2" s="364"/>
    </row>
    <row r="3" spans="1:11" ht="67.5" customHeight="1">
      <c r="A3" s="42"/>
      <c r="B3" s="42"/>
      <c r="C3" s="378" t="str">
        <f>прилож1!C4</f>
        <v>к  решению Думы МО "Гаханское"  № 103 от 20 сентября  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v>
      </c>
      <c r="D3" s="379"/>
      <c r="E3" s="379"/>
      <c r="F3" s="379"/>
      <c r="G3" s="379"/>
      <c r="H3" s="379"/>
      <c r="I3" s="379"/>
      <c r="J3" s="379"/>
      <c r="K3" s="379"/>
    </row>
    <row r="4" spans="1:11" ht="57" customHeight="1">
      <c r="A4" s="376" t="s">
        <v>556</v>
      </c>
      <c r="B4" s="376"/>
      <c r="C4" s="376"/>
      <c r="D4" s="376"/>
      <c r="E4" s="376"/>
      <c r="F4" s="376"/>
      <c r="G4" s="376"/>
      <c r="H4" s="376"/>
      <c r="I4" s="376"/>
      <c r="J4" s="377"/>
      <c r="K4" s="377"/>
    </row>
    <row r="5" spans="1:11" ht="15">
      <c r="A5" s="41"/>
      <c r="B5" s="41"/>
      <c r="C5" s="41"/>
      <c r="D5" s="41"/>
      <c r="E5" s="41"/>
      <c r="F5" s="41"/>
      <c r="G5" s="41"/>
      <c r="H5" s="41"/>
      <c r="K5" s="54" t="s">
        <v>112</v>
      </c>
    </row>
    <row r="6" spans="1:11" ht="15.75" customHeight="1">
      <c r="A6" s="366" t="s">
        <v>31</v>
      </c>
      <c r="B6" s="368" t="s">
        <v>30</v>
      </c>
      <c r="C6" s="369"/>
      <c r="D6" s="369"/>
      <c r="E6" s="369"/>
      <c r="F6" s="370"/>
      <c r="G6" s="371"/>
      <c r="H6" s="372" t="s">
        <v>65</v>
      </c>
      <c r="I6" s="374" t="s">
        <v>330</v>
      </c>
      <c r="J6" s="365" t="s">
        <v>276</v>
      </c>
      <c r="K6" s="365"/>
    </row>
    <row r="7" spans="1:14" ht="45" customHeight="1">
      <c r="A7" s="367"/>
      <c r="B7" s="172" t="s">
        <v>32</v>
      </c>
      <c r="C7" s="173" t="s">
        <v>33</v>
      </c>
      <c r="D7" s="173" t="s">
        <v>34</v>
      </c>
      <c r="E7" s="174" t="s">
        <v>35</v>
      </c>
      <c r="F7" s="173" t="s">
        <v>230</v>
      </c>
      <c r="G7" s="175" t="s">
        <v>36</v>
      </c>
      <c r="H7" s="373"/>
      <c r="I7" s="375"/>
      <c r="J7" s="176" t="s">
        <v>348</v>
      </c>
      <c r="K7" s="176" t="s">
        <v>457</v>
      </c>
      <c r="N7" s="55"/>
    </row>
    <row r="8" spans="1:15" ht="31.5">
      <c r="A8" s="181" t="s">
        <v>308</v>
      </c>
      <c r="B8" s="182">
        <v>250</v>
      </c>
      <c r="C8" s="176"/>
      <c r="D8" s="176"/>
      <c r="E8" s="176"/>
      <c r="F8" s="176"/>
      <c r="G8" s="183"/>
      <c r="H8" s="176"/>
      <c r="I8" s="184">
        <f>SUM(I9,I65,I81,I105,I161,I261,I267,I311)</f>
        <v>29879260.990000002</v>
      </c>
      <c r="J8" s="185">
        <f>SUM(J9,J65,J81,J105,J161,J261,J267,J311)</f>
        <v>10487387.15</v>
      </c>
      <c r="K8" s="185">
        <f>SUM(K9,K65,K81,K105,K161,K261,K267,K311)</f>
        <v>10502818.969999999</v>
      </c>
      <c r="L8" s="40"/>
      <c r="M8" s="55"/>
      <c r="N8" s="40"/>
      <c r="O8" s="40"/>
    </row>
    <row r="9" spans="1:15" ht="15.75">
      <c r="A9" s="181" t="s">
        <v>0</v>
      </c>
      <c r="B9" s="182">
        <v>250</v>
      </c>
      <c r="C9" s="182" t="s">
        <v>1</v>
      </c>
      <c r="D9" s="182" t="s">
        <v>2</v>
      </c>
      <c r="E9" s="182" t="s">
        <v>3</v>
      </c>
      <c r="F9" s="182" t="s">
        <v>270</v>
      </c>
      <c r="G9" s="186"/>
      <c r="H9" s="182" t="s">
        <v>4</v>
      </c>
      <c r="I9" s="185">
        <f>SUM(I10,I18,I54,I59)</f>
        <v>7955741.87</v>
      </c>
      <c r="J9" s="185">
        <f>SUM(J10,J18,J54,J59)</f>
        <v>6177449.15</v>
      </c>
      <c r="K9" s="185">
        <f>SUM(K10,K18,K54,K59)</f>
        <v>7122440.97</v>
      </c>
      <c r="M9" s="40"/>
      <c r="N9" s="55"/>
      <c r="O9" s="55"/>
    </row>
    <row r="10" spans="1:15" ht="63">
      <c r="A10" s="181" t="s">
        <v>240</v>
      </c>
      <c r="B10" s="182">
        <v>250</v>
      </c>
      <c r="C10" s="182" t="s">
        <v>1</v>
      </c>
      <c r="D10" s="182" t="s">
        <v>39</v>
      </c>
      <c r="E10" s="182" t="s">
        <v>3</v>
      </c>
      <c r="F10" s="182" t="s">
        <v>254</v>
      </c>
      <c r="G10" s="187"/>
      <c r="H10" s="187" t="s">
        <v>4</v>
      </c>
      <c r="I10" s="188">
        <f>I11</f>
        <v>1633673</v>
      </c>
      <c r="J10" s="185">
        <f>J11</f>
        <v>1306938</v>
      </c>
      <c r="K10" s="185">
        <f>K11</f>
        <v>1641701</v>
      </c>
      <c r="M10" s="119"/>
      <c r="N10" s="98"/>
      <c r="O10" s="98"/>
    </row>
    <row r="11" spans="1:11" ht="30">
      <c r="A11" s="189" t="s">
        <v>84</v>
      </c>
      <c r="B11" s="182">
        <v>250</v>
      </c>
      <c r="C11" s="176" t="s">
        <v>1</v>
      </c>
      <c r="D11" s="176" t="s">
        <v>39</v>
      </c>
      <c r="E11" s="176" t="s">
        <v>85</v>
      </c>
      <c r="F11" s="176" t="s">
        <v>434</v>
      </c>
      <c r="G11" s="176"/>
      <c r="H11" s="176" t="s">
        <v>4</v>
      </c>
      <c r="I11" s="190">
        <f>SUM(I13)</f>
        <v>1633673</v>
      </c>
      <c r="J11" s="190">
        <f>SUM(J13)</f>
        <v>1306938</v>
      </c>
      <c r="K11" s="190">
        <f>SUM(K13)</f>
        <v>1641701</v>
      </c>
    </row>
    <row r="12" spans="1:11" ht="51" customHeight="1">
      <c r="A12" s="189" t="s">
        <v>514</v>
      </c>
      <c r="B12" s="182">
        <v>250</v>
      </c>
      <c r="C12" s="176" t="s">
        <v>1</v>
      </c>
      <c r="D12" s="176" t="s">
        <v>39</v>
      </c>
      <c r="E12" s="176" t="s">
        <v>85</v>
      </c>
      <c r="F12" s="176" t="s">
        <v>407</v>
      </c>
      <c r="G12" s="191"/>
      <c r="H12" s="176" t="s">
        <v>4</v>
      </c>
      <c r="I12" s="190">
        <f>I13</f>
        <v>1633673</v>
      </c>
      <c r="J12" s="190">
        <f>J13</f>
        <v>1306938</v>
      </c>
      <c r="K12" s="190">
        <f>K13</f>
        <v>1641701</v>
      </c>
    </row>
    <row r="13" spans="1:11" ht="111.75" customHeight="1" hidden="1">
      <c r="A13" s="193" t="s">
        <v>246</v>
      </c>
      <c r="B13" s="194">
        <v>250</v>
      </c>
      <c r="C13" s="195" t="s">
        <v>1</v>
      </c>
      <c r="D13" s="195" t="s">
        <v>39</v>
      </c>
      <c r="E13" s="195" t="s">
        <v>85</v>
      </c>
      <c r="F13" s="195" t="s">
        <v>407</v>
      </c>
      <c r="G13" s="228"/>
      <c r="H13" s="195" t="s">
        <v>4</v>
      </c>
      <c r="I13" s="196">
        <f>I15</f>
        <v>1633673</v>
      </c>
      <c r="J13" s="196">
        <f>J15</f>
        <v>1306938</v>
      </c>
      <c r="K13" s="196">
        <f>K15</f>
        <v>1641701</v>
      </c>
    </row>
    <row r="14" spans="1:11" ht="48.75" customHeight="1">
      <c r="A14" s="189" t="s">
        <v>247</v>
      </c>
      <c r="B14" s="182">
        <v>250</v>
      </c>
      <c r="C14" s="176" t="s">
        <v>1</v>
      </c>
      <c r="D14" s="176" t="s">
        <v>39</v>
      </c>
      <c r="E14" s="176" t="s">
        <v>85</v>
      </c>
      <c r="F14" s="176" t="s">
        <v>407</v>
      </c>
      <c r="G14" s="192" t="s">
        <v>251</v>
      </c>
      <c r="H14" s="176"/>
      <c r="I14" s="190">
        <f>I15</f>
        <v>1633673</v>
      </c>
      <c r="J14" s="190">
        <f>J15</f>
        <v>1306938</v>
      </c>
      <c r="K14" s="190">
        <f>K15</f>
        <v>1641701</v>
      </c>
    </row>
    <row r="15" spans="1:16" ht="35.25" customHeight="1">
      <c r="A15" s="189" t="s">
        <v>165</v>
      </c>
      <c r="B15" s="182">
        <v>250</v>
      </c>
      <c r="C15" s="176" t="s">
        <v>1</v>
      </c>
      <c r="D15" s="176" t="s">
        <v>39</v>
      </c>
      <c r="E15" s="176" t="s">
        <v>85</v>
      </c>
      <c r="F15" s="176" t="s">
        <v>407</v>
      </c>
      <c r="G15" s="176">
        <v>120</v>
      </c>
      <c r="H15" s="176">
        <v>210</v>
      </c>
      <c r="I15" s="190">
        <f>I16+I17</f>
        <v>1633673</v>
      </c>
      <c r="J15" s="190">
        <f>J16+J17</f>
        <v>1306938</v>
      </c>
      <c r="K15" s="190">
        <f>K16+K17</f>
        <v>1641701</v>
      </c>
      <c r="M15" s="40"/>
      <c r="N15" s="40"/>
      <c r="O15" s="40"/>
      <c r="P15" s="55"/>
    </row>
    <row r="16" spans="1:13" ht="21" customHeight="1" hidden="1">
      <c r="A16" s="193" t="s">
        <v>10</v>
      </c>
      <c r="B16" s="194">
        <v>250</v>
      </c>
      <c r="C16" s="195" t="s">
        <v>1</v>
      </c>
      <c r="D16" s="195" t="s">
        <v>39</v>
      </c>
      <c r="E16" s="195" t="s">
        <v>85</v>
      </c>
      <c r="F16" s="195"/>
      <c r="G16" s="195">
        <v>121</v>
      </c>
      <c r="H16" s="195">
        <v>211</v>
      </c>
      <c r="I16" s="196">
        <f>1260907-330887+324721</f>
        <v>1254741</v>
      </c>
      <c r="J16" s="196">
        <f>1260907-100000-157114</f>
        <v>1003793</v>
      </c>
      <c r="K16" s="196">
        <v>1260907</v>
      </c>
      <c r="M16" s="40"/>
    </row>
    <row r="17" spans="1:14" ht="18.75" customHeight="1" hidden="1">
      <c r="A17" s="193" t="s">
        <v>12</v>
      </c>
      <c r="B17" s="194">
        <v>250</v>
      </c>
      <c r="C17" s="195" t="s">
        <v>1</v>
      </c>
      <c r="D17" s="195" t="s">
        <v>39</v>
      </c>
      <c r="E17" s="195" t="s">
        <v>85</v>
      </c>
      <c r="F17" s="195"/>
      <c r="G17" s="195">
        <v>129</v>
      </c>
      <c r="H17" s="195">
        <v>213</v>
      </c>
      <c r="I17" s="197">
        <f>378932</f>
        <v>378932</v>
      </c>
      <c r="J17" s="196">
        <f>350594-47449</f>
        <v>303145</v>
      </c>
      <c r="K17" s="196">
        <v>380794</v>
      </c>
      <c r="M17" s="40"/>
      <c r="N17" s="55"/>
    </row>
    <row r="18" spans="1:13" ht="57.75" customHeight="1">
      <c r="A18" s="181" t="s">
        <v>239</v>
      </c>
      <c r="B18" s="182">
        <v>250</v>
      </c>
      <c r="C18" s="182" t="s">
        <v>1</v>
      </c>
      <c r="D18" s="182" t="s">
        <v>6</v>
      </c>
      <c r="E18" s="182" t="s">
        <v>3</v>
      </c>
      <c r="F18" s="182" t="s">
        <v>433</v>
      </c>
      <c r="G18" s="187"/>
      <c r="H18" s="187" t="s">
        <v>4</v>
      </c>
      <c r="I18" s="198">
        <f>I21+I25+I39</f>
        <v>6311368.87</v>
      </c>
      <c r="J18" s="188">
        <f>J21+J25+J39</f>
        <v>4859811.15</v>
      </c>
      <c r="K18" s="188">
        <f>K21+K25+K39</f>
        <v>5480039.97</v>
      </c>
      <c r="M18" s="55"/>
    </row>
    <row r="19" spans="1:11" ht="54" customHeight="1">
      <c r="A19" s="189" t="s">
        <v>517</v>
      </c>
      <c r="B19" s="182">
        <v>250</v>
      </c>
      <c r="C19" s="176" t="s">
        <v>1</v>
      </c>
      <c r="D19" s="176" t="s">
        <v>6</v>
      </c>
      <c r="E19" s="176" t="s">
        <v>3</v>
      </c>
      <c r="F19" s="199" t="s">
        <v>408</v>
      </c>
      <c r="G19" s="176"/>
      <c r="H19" s="176" t="s">
        <v>4</v>
      </c>
      <c r="I19" s="190">
        <f>I22</f>
        <v>5388512.87</v>
      </c>
      <c r="J19" s="190">
        <f>J22</f>
        <v>4310810</v>
      </c>
      <c r="K19" s="190">
        <f>K22</f>
        <v>5117019</v>
      </c>
    </row>
    <row r="20" spans="1:14" ht="135" hidden="1">
      <c r="A20" s="189" t="s">
        <v>246</v>
      </c>
      <c r="B20" s="182">
        <v>250</v>
      </c>
      <c r="C20" s="176" t="s">
        <v>1</v>
      </c>
      <c r="D20" s="176" t="s">
        <v>6</v>
      </c>
      <c r="E20" s="176" t="s">
        <v>3</v>
      </c>
      <c r="F20" s="176" t="s">
        <v>408</v>
      </c>
      <c r="G20" s="176"/>
      <c r="H20" s="176"/>
      <c r="I20" s="190">
        <f aca="true" t="shared" si="0" ref="I20:K21">I21</f>
        <v>5388512.87</v>
      </c>
      <c r="J20" s="190">
        <f t="shared" si="0"/>
        <v>4310810</v>
      </c>
      <c r="K20" s="190">
        <f t="shared" si="0"/>
        <v>5117019</v>
      </c>
      <c r="N20" s="75"/>
    </row>
    <row r="21" spans="1:13" ht="54.75" customHeight="1">
      <c r="A21" s="189" t="s">
        <v>247</v>
      </c>
      <c r="B21" s="182">
        <v>250</v>
      </c>
      <c r="C21" s="176" t="s">
        <v>1</v>
      </c>
      <c r="D21" s="176" t="s">
        <v>6</v>
      </c>
      <c r="E21" s="176" t="s">
        <v>109</v>
      </c>
      <c r="F21" s="176" t="s">
        <v>408</v>
      </c>
      <c r="G21" s="182">
        <v>100</v>
      </c>
      <c r="H21" s="176" t="s">
        <v>4</v>
      </c>
      <c r="I21" s="200">
        <f t="shared" si="0"/>
        <v>5388512.87</v>
      </c>
      <c r="J21" s="190">
        <f t="shared" si="0"/>
        <v>4310810</v>
      </c>
      <c r="K21" s="190">
        <f t="shared" si="0"/>
        <v>5117019</v>
      </c>
      <c r="M21" s="121"/>
    </row>
    <row r="22" spans="1:14" ht="28.5" customHeight="1">
      <c r="A22" s="189" t="s">
        <v>165</v>
      </c>
      <c r="B22" s="182">
        <v>250</v>
      </c>
      <c r="C22" s="176" t="s">
        <v>1</v>
      </c>
      <c r="D22" s="176" t="s">
        <v>6</v>
      </c>
      <c r="E22" s="176" t="s">
        <v>109</v>
      </c>
      <c r="F22" s="176" t="s">
        <v>408</v>
      </c>
      <c r="G22" s="176">
        <v>120</v>
      </c>
      <c r="H22" s="176">
        <v>210</v>
      </c>
      <c r="I22" s="200">
        <f>I23+I24</f>
        <v>5388512.87</v>
      </c>
      <c r="J22" s="190">
        <f>J23+J24</f>
        <v>4310810</v>
      </c>
      <c r="K22" s="190">
        <f>K23+K24</f>
        <v>5117019</v>
      </c>
      <c r="M22" s="40"/>
      <c r="N22" s="99"/>
    </row>
    <row r="23" spans="1:13" ht="13.5" customHeight="1" hidden="1">
      <c r="A23" s="193" t="s">
        <v>10</v>
      </c>
      <c r="B23" s="194">
        <v>250</v>
      </c>
      <c r="C23" s="195" t="s">
        <v>1</v>
      </c>
      <c r="D23" s="195" t="s">
        <v>6</v>
      </c>
      <c r="E23" s="195" t="s">
        <v>109</v>
      </c>
      <c r="F23" s="195" t="s">
        <v>255</v>
      </c>
      <c r="G23" s="195">
        <v>121</v>
      </c>
      <c r="H23" s="195">
        <v>211</v>
      </c>
      <c r="I23" s="201">
        <f>4020309+28312.17+56420+500000-110000-330887+31+3100</f>
        <v>4167285.17</v>
      </c>
      <c r="J23" s="196">
        <f>4605041-193357.24-31502.26-1069267.5</f>
        <v>3310914</v>
      </c>
      <c r="K23" s="196">
        <f>4172517-220163</f>
        <v>3952354</v>
      </c>
      <c r="M23" s="117"/>
    </row>
    <row r="24" spans="1:14" ht="20.25" customHeight="1" hidden="1">
      <c r="A24" s="193" t="s">
        <v>12</v>
      </c>
      <c r="B24" s="194">
        <v>250</v>
      </c>
      <c r="C24" s="195" t="s">
        <v>1</v>
      </c>
      <c r="D24" s="195" t="s">
        <v>6</v>
      </c>
      <c r="E24" s="195" t="s">
        <v>109</v>
      </c>
      <c r="F24" s="195" t="s">
        <v>255</v>
      </c>
      <c r="G24" s="195">
        <v>129</v>
      </c>
      <c r="H24" s="195">
        <v>213</v>
      </c>
      <c r="I24" s="201">
        <f>1214133+17022.12-9928+0.54+0.04</f>
        <v>1221227.7000000002</v>
      </c>
      <c r="J24" s="196">
        <f>1231155-231259</f>
        <v>999896</v>
      </c>
      <c r="K24" s="196">
        <f>1231155-66490</f>
        <v>1164665</v>
      </c>
      <c r="M24" s="55"/>
      <c r="N24" s="75"/>
    </row>
    <row r="25" spans="1:11" ht="31.5" customHeight="1">
      <c r="A25" s="189" t="s">
        <v>153</v>
      </c>
      <c r="B25" s="182">
        <v>250</v>
      </c>
      <c r="C25" s="176" t="s">
        <v>1</v>
      </c>
      <c r="D25" s="176" t="s">
        <v>6</v>
      </c>
      <c r="E25" s="176" t="s">
        <v>109</v>
      </c>
      <c r="F25" s="176" t="s">
        <v>408</v>
      </c>
      <c r="G25" s="182">
        <v>200</v>
      </c>
      <c r="H25" s="202" t="s">
        <v>125</v>
      </c>
      <c r="I25" s="200">
        <f>I26</f>
        <v>885856</v>
      </c>
      <c r="J25" s="190">
        <f>J26</f>
        <v>543501.15</v>
      </c>
      <c r="K25" s="190">
        <f>K26</f>
        <v>363020.97</v>
      </c>
    </row>
    <row r="26" spans="1:11" ht="30.75" customHeight="1">
      <c r="A26" s="189" t="s">
        <v>248</v>
      </c>
      <c r="B26" s="182">
        <v>250</v>
      </c>
      <c r="C26" s="176" t="s">
        <v>1</v>
      </c>
      <c r="D26" s="176" t="s">
        <v>6</v>
      </c>
      <c r="E26" s="176" t="s">
        <v>109</v>
      </c>
      <c r="F26" s="176" t="s">
        <v>408</v>
      </c>
      <c r="G26" s="176">
        <v>240</v>
      </c>
      <c r="H26" s="202"/>
      <c r="I26" s="200">
        <f>I27+I31+I38</f>
        <v>885856</v>
      </c>
      <c r="J26" s="190">
        <f>J27+J31+J38</f>
        <v>543501.15</v>
      </c>
      <c r="K26" s="190">
        <f>K27+K31+K38</f>
        <v>363020.97</v>
      </c>
    </row>
    <row r="27" spans="1:11" ht="42" customHeight="1">
      <c r="A27" s="189" t="s">
        <v>154</v>
      </c>
      <c r="B27" s="182">
        <v>250</v>
      </c>
      <c r="C27" s="176" t="s">
        <v>1</v>
      </c>
      <c r="D27" s="176" t="s">
        <v>6</v>
      </c>
      <c r="E27" s="176" t="s">
        <v>109</v>
      </c>
      <c r="F27" s="176" t="s">
        <v>408</v>
      </c>
      <c r="G27" s="176">
        <v>242</v>
      </c>
      <c r="H27" s="202" t="s">
        <v>125</v>
      </c>
      <c r="I27" s="203">
        <f>SUM(I28:I30)</f>
        <v>258556</v>
      </c>
      <c r="J27" s="190">
        <v>182000</v>
      </c>
      <c r="K27" s="190">
        <f>SUM(K28:K30)</f>
        <v>150000</v>
      </c>
    </row>
    <row r="28" spans="1:11" ht="12.75" customHeight="1" hidden="1">
      <c r="A28" s="193" t="s">
        <v>14</v>
      </c>
      <c r="B28" s="182">
        <v>250</v>
      </c>
      <c r="C28" s="176" t="s">
        <v>1</v>
      </c>
      <c r="D28" s="176" t="s">
        <v>6</v>
      </c>
      <c r="E28" s="176" t="s">
        <v>109</v>
      </c>
      <c r="F28" s="176" t="s">
        <v>256</v>
      </c>
      <c r="G28" s="176">
        <v>221</v>
      </c>
      <c r="H28" s="191" t="s">
        <v>155</v>
      </c>
      <c r="I28" s="203"/>
      <c r="J28" s="204"/>
      <c r="K28" s="204"/>
    </row>
    <row r="29" spans="1:13" ht="12.75" customHeight="1" hidden="1">
      <c r="A29" s="193" t="s">
        <v>156</v>
      </c>
      <c r="B29" s="182">
        <v>250</v>
      </c>
      <c r="C29" s="176" t="s">
        <v>1</v>
      </c>
      <c r="D29" s="176" t="s">
        <v>6</v>
      </c>
      <c r="E29" s="176" t="s">
        <v>109</v>
      </c>
      <c r="F29" s="176" t="s">
        <v>256</v>
      </c>
      <c r="G29" s="176">
        <v>226</v>
      </c>
      <c r="H29" s="191" t="s">
        <v>157</v>
      </c>
      <c r="I29" s="203">
        <v>258556</v>
      </c>
      <c r="J29" s="204"/>
      <c r="K29" s="204">
        <v>150000</v>
      </c>
      <c r="M29" s="115"/>
    </row>
    <row r="30" spans="1:13" ht="12.75" customHeight="1" hidden="1">
      <c r="A30" s="193" t="s">
        <v>331</v>
      </c>
      <c r="B30" s="182">
        <v>250</v>
      </c>
      <c r="C30" s="176" t="s">
        <v>1</v>
      </c>
      <c r="D30" s="176" t="s">
        <v>6</v>
      </c>
      <c r="E30" s="176" t="s">
        <v>109</v>
      </c>
      <c r="F30" s="176" t="s">
        <v>256</v>
      </c>
      <c r="G30" s="176">
        <v>226</v>
      </c>
      <c r="H30" s="191" t="s">
        <v>157</v>
      </c>
      <c r="I30" s="203"/>
      <c r="J30" s="204"/>
      <c r="K30" s="204"/>
      <c r="M30" s="1"/>
    </row>
    <row r="31" spans="1:13" ht="30">
      <c r="A31" s="189" t="s">
        <v>497</v>
      </c>
      <c r="B31" s="182">
        <v>250</v>
      </c>
      <c r="C31" s="176" t="s">
        <v>1</v>
      </c>
      <c r="D31" s="176" t="s">
        <v>6</v>
      </c>
      <c r="E31" s="176" t="s">
        <v>109</v>
      </c>
      <c r="F31" s="176" t="s">
        <v>408</v>
      </c>
      <c r="G31" s="176">
        <v>244</v>
      </c>
      <c r="H31" s="192" t="s">
        <v>125</v>
      </c>
      <c r="I31" s="203">
        <f>SUM(I32:I37)</f>
        <v>427300</v>
      </c>
      <c r="J31" s="200">
        <f>SUM(J32:J37)</f>
        <v>261501.15</v>
      </c>
      <c r="K31" s="190">
        <f>SUM(K32:K37)</f>
        <v>112420.97</v>
      </c>
      <c r="M31" s="116"/>
    </row>
    <row r="32" spans="1:13" ht="13.5" customHeight="1" hidden="1">
      <c r="A32" s="205" t="s">
        <v>15</v>
      </c>
      <c r="B32" s="206">
        <v>250</v>
      </c>
      <c r="C32" s="207" t="s">
        <v>1</v>
      </c>
      <c r="D32" s="207" t="s">
        <v>6</v>
      </c>
      <c r="E32" s="207" t="s">
        <v>109</v>
      </c>
      <c r="F32" s="207" t="s">
        <v>256</v>
      </c>
      <c r="G32" s="207">
        <v>222</v>
      </c>
      <c r="H32" s="207">
        <v>222</v>
      </c>
      <c r="I32" s="203"/>
      <c r="J32" s="208"/>
      <c r="K32" s="208"/>
      <c r="M32" s="1"/>
    </row>
    <row r="33" spans="1:13" ht="16.5" customHeight="1" hidden="1">
      <c r="A33" s="209" t="s">
        <v>16</v>
      </c>
      <c r="B33" s="206">
        <v>250</v>
      </c>
      <c r="C33" s="207" t="s">
        <v>1</v>
      </c>
      <c r="D33" s="207" t="s">
        <v>6</v>
      </c>
      <c r="E33" s="207" t="s">
        <v>109</v>
      </c>
      <c r="F33" s="207" t="s">
        <v>256</v>
      </c>
      <c r="G33" s="207">
        <v>223</v>
      </c>
      <c r="H33" s="207">
        <v>223</v>
      </c>
      <c r="I33" s="203"/>
      <c r="J33" s="208"/>
      <c r="K33" s="208"/>
      <c r="M33" s="77"/>
    </row>
    <row r="34" spans="1:13" ht="27" customHeight="1" hidden="1">
      <c r="A34" s="209" t="s">
        <v>107</v>
      </c>
      <c r="B34" s="206">
        <v>250</v>
      </c>
      <c r="C34" s="207" t="s">
        <v>1</v>
      </c>
      <c r="D34" s="207" t="s">
        <v>6</v>
      </c>
      <c r="E34" s="207" t="s">
        <v>109</v>
      </c>
      <c r="F34" s="207" t="s">
        <v>256</v>
      </c>
      <c r="G34" s="207">
        <v>224</v>
      </c>
      <c r="H34" s="207">
        <v>224</v>
      </c>
      <c r="I34" s="203"/>
      <c r="J34" s="208"/>
      <c r="K34" s="208"/>
      <c r="M34" s="1"/>
    </row>
    <row r="35" spans="1:13" ht="14.25" customHeight="1" hidden="1">
      <c r="A35" s="205" t="s">
        <v>17</v>
      </c>
      <c r="B35" s="206">
        <v>250</v>
      </c>
      <c r="C35" s="207" t="s">
        <v>1</v>
      </c>
      <c r="D35" s="207" t="s">
        <v>6</v>
      </c>
      <c r="E35" s="207" t="s">
        <v>109</v>
      </c>
      <c r="F35" s="207" t="s">
        <v>256</v>
      </c>
      <c r="G35" s="207">
        <v>225</v>
      </c>
      <c r="H35" s="207">
        <v>225</v>
      </c>
      <c r="I35" s="203">
        <v>8500</v>
      </c>
      <c r="J35" s="208">
        <v>8500</v>
      </c>
      <c r="K35" s="208"/>
      <c r="M35" s="4"/>
    </row>
    <row r="36" spans="1:13" ht="15.75" customHeight="1" hidden="1">
      <c r="A36" s="205" t="s">
        <v>161</v>
      </c>
      <c r="B36" s="206">
        <v>250</v>
      </c>
      <c r="C36" s="207" t="s">
        <v>1</v>
      </c>
      <c r="D36" s="207" t="s">
        <v>6</v>
      </c>
      <c r="E36" s="207" t="s">
        <v>109</v>
      </c>
      <c r="F36" s="207" t="s">
        <v>256</v>
      </c>
      <c r="G36" s="207">
        <v>226</v>
      </c>
      <c r="H36" s="207">
        <v>226</v>
      </c>
      <c r="I36" s="203">
        <f>323700+3570+18530</f>
        <v>345800</v>
      </c>
      <c r="J36" s="208">
        <f>193000+1.15</f>
        <v>193001.15</v>
      </c>
      <c r="K36" s="208">
        <f>85000+0.97</f>
        <v>85000.97</v>
      </c>
      <c r="M36" s="114"/>
    </row>
    <row r="37" spans="1:13" ht="26.25" customHeight="1" hidden="1">
      <c r="A37" s="205" t="s">
        <v>22</v>
      </c>
      <c r="B37" s="206">
        <v>250</v>
      </c>
      <c r="C37" s="207" t="s">
        <v>1</v>
      </c>
      <c r="D37" s="207" t="s">
        <v>6</v>
      </c>
      <c r="E37" s="207" t="s">
        <v>109</v>
      </c>
      <c r="F37" s="207" t="s">
        <v>256</v>
      </c>
      <c r="G37" s="207">
        <v>340</v>
      </c>
      <c r="H37" s="207">
        <v>310</v>
      </c>
      <c r="I37" s="203">
        <v>73000</v>
      </c>
      <c r="J37" s="208">
        <v>60000</v>
      </c>
      <c r="K37" s="208">
        <v>27420</v>
      </c>
      <c r="M37" s="115"/>
    </row>
    <row r="38" spans="1:11" ht="29.25" customHeight="1">
      <c r="A38" s="210" t="s">
        <v>395</v>
      </c>
      <c r="B38" s="187">
        <v>250</v>
      </c>
      <c r="C38" s="199" t="str">
        <f>C37</f>
        <v>О1</v>
      </c>
      <c r="D38" s="199" t="str">
        <f>D37</f>
        <v>О4</v>
      </c>
      <c r="E38" s="199"/>
      <c r="F38" s="199" t="str">
        <f>F31</f>
        <v>91 1 02 90120</v>
      </c>
      <c r="G38" s="199">
        <v>247</v>
      </c>
      <c r="H38" s="199"/>
      <c r="I38" s="200">
        <f>100000+100000</f>
        <v>200000</v>
      </c>
      <c r="J38" s="211">
        <v>100000</v>
      </c>
      <c r="K38" s="211">
        <f>100000+600</f>
        <v>100600</v>
      </c>
    </row>
    <row r="39" spans="1:11" ht="18" customHeight="1">
      <c r="A39" s="189" t="s">
        <v>219</v>
      </c>
      <c r="B39" s="182">
        <v>250</v>
      </c>
      <c r="C39" s="176" t="s">
        <v>1</v>
      </c>
      <c r="D39" s="176" t="s">
        <v>6</v>
      </c>
      <c r="E39" s="176" t="s">
        <v>109</v>
      </c>
      <c r="F39" s="176" t="s">
        <v>408</v>
      </c>
      <c r="G39" s="182">
        <v>800</v>
      </c>
      <c r="H39" s="192" t="s">
        <v>125</v>
      </c>
      <c r="I39" s="203">
        <f>I40</f>
        <v>37000</v>
      </c>
      <c r="J39" s="190">
        <f>J40</f>
        <v>5500</v>
      </c>
      <c r="K39" s="190">
        <f>K40</f>
        <v>0</v>
      </c>
    </row>
    <row r="40" spans="1:11" ht="30.75" customHeight="1">
      <c r="A40" s="189" t="s">
        <v>162</v>
      </c>
      <c r="B40" s="182">
        <v>250</v>
      </c>
      <c r="C40" s="176" t="s">
        <v>1</v>
      </c>
      <c r="D40" s="176" t="s">
        <v>6</v>
      </c>
      <c r="E40" s="176" t="s">
        <v>109</v>
      </c>
      <c r="F40" s="176" t="s">
        <v>408</v>
      </c>
      <c r="G40" s="176">
        <v>850</v>
      </c>
      <c r="H40" s="192" t="s">
        <v>125</v>
      </c>
      <c r="I40" s="190">
        <f>I41+I44</f>
        <v>37000</v>
      </c>
      <c r="J40" s="190">
        <f>J41+J44</f>
        <v>5500</v>
      </c>
      <c r="K40" s="190">
        <f>K41+K44</f>
        <v>0</v>
      </c>
    </row>
    <row r="41" spans="1:11" ht="28.5" customHeight="1" hidden="1">
      <c r="A41" s="212" t="s">
        <v>490</v>
      </c>
      <c r="B41" s="182">
        <v>250</v>
      </c>
      <c r="C41" s="176" t="s">
        <v>1</v>
      </c>
      <c r="D41" s="176" t="s">
        <v>6</v>
      </c>
      <c r="E41" s="176" t="s">
        <v>109</v>
      </c>
      <c r="F41" s="176" t="s">
        <v>408</v>
      </c>
      <c r="G41" s="176">
        <v>852</v>
      </c>
      <c r="H41" s="182">
        <v>290</v>
      </c>
      <c r="I41" s="190">
        <v>5500</v>
      </c>
      <c r="J41" s="204">
        <v>5500</v>
      </c>
      <c r="K41" s="204">
        <v>0</v>
      </c>
    </row>
    <row r="42" spans="1:11" ht="44.25" customHeight="1" hidden="1">
      <c r="A42" s="189" t="s">
        <v>242</v>
      </c>
      <c r="B42" s="182">
        <v>250</v>
      </c>
      <c r="C42" s="176" t="s">
        <v>1</v>
      </c>
      <c r="D42" s="176" t="s">
        <v>6</v>
      </c>
      <c r="E42" s="176" t="s">
        <v>109</v>
      </c>
      <c r="F42" s="176" t="s">
        <v>408</v>
      </c>
      <c r="G42" s="176">
        <v>852</v>
      </c>
      <c r="H42" s="192" t="s">
        <v>125</v>
      </c>
      <c r="I42" s="190">
        <v>0</v>
      </c>
      <c r="J42" s="204">
        <f>J43</f>
        <v>0</v>
      </c>
      <c r="K42" s="204">
        <f>K43</f>
        <v>0</v>
      </c>
    </row>
    <row r="43" spans="1:11" ht="15.75" customHeight="1" hidden="1">
      <c r="A43" s="193" t="s">
        <v>19</v>
      </c>
      <c r="B43" s="194">
        <v>250</v>
      </c>
      <c r="C43" s="195" t="s">
        <v>1</v>
      </c>
      <c r="D43" s="195" t="s">
        <v>6</v>
      </c>
      <c r="E43" s="195" t="s">
        <v>109</v>
      </c>
      <c r="F43" s="195" t="s">
        <v>256</v>
      </c>
      <c r="G43" s="195">
        <v>290</v>
      </c>
      <c r="H43" s="182">
        <v>290</v>
      </c>
      <c r="I43" s="190">
        <v>0</v>
      </c>
      <c r="J43" s="204"/>
      <c r="K43" s="204"/>
    </row>
    <row r="44" spans="1:11" ht="43.5" customHeight="1" hidden="1">
      <c r="A44" s="189" t="s">
        <v>163</v>
      </c>
      <c r="B44" s="182">
        <v>250</v>
      </c>
      <c r="C44" s="176" t="s">
        <v>1</v>
      </c>
      <c r="D44" s="176" t="s">
        <v>6</v>
      </c>
      <c r="E44" s="176" t="s">
        <v>109</v>
      </c>
      <c r="F44" s="176" t="s">
        <v>408</v>
      </c>
      <c r="G44" s="176">
        <v>853</v>
      </c>
      <c r="H44" s="192" t="s">
        <v>125</v>
      </c>
      <c r="I44" s="196">
        <v>31500</v>
      </c>
      <c r="J44" s="204">
        <f>J45</f>
        <v>0</v>
      </c>
      <c r="K44" s="204">
        <f>K45</f>
        <v>0</v>
      </c>
    </row>
    <row r="45" spans="1:11" ht="15.75" customHeight="1" hidden="1">
      <c r="A45" s="193" t="s">
        <v>19</v>
      </c>
      <c r="B45" s="194">
        <v>250</v>
      </c>
      <c r="C45" s="195" t="s">
        <v>1</v>
      </c>
      <c r="D45" s="195" t="s">
        <v>6</v>
      </c>
      <c r="E45" s="195" t="s">
        <v>109</v>
      </c>
      <c r="F45" s="195"/>
      <c r="G45" s="195">
        <v>290</v>
      </c>
      <c r="H45" s="182">
        <v>290</v>
      </c>
      <c r="I45" s="190">
        <v>0</v>
      </c>
      <c r="J45" s="204"/>
      <c r="K45" s="204"/>
    </row>
    <row r="46" spans="1:11" ht="49.5" customHeight="1" hidden="1">
      <c r="A46" s="213" t="s">
        <v>294</v>
      </c>
      <c r="B46" s="214">
        <v>250</v>
      </c>
      <c r="C46" s="215" t="s">
        <v>126</v>
      </c>
      <c r="D46" s="215" t="s">
        <v>296</v>
      </c>
      <c r="E46" s="215" t="s">
        <v>124</v>
      </c>
      <c r="F46" s="215" t="s">
        <v>297</v>
      </c>
      <c r="G46" s="214"/>
      <c r="H46" s="215" t="s">
        <v>125</v>
      </c>
      <c r="I46" s="216">
        <f>I47</f>
        <v>0</v>
      </c>
      <c r="J46" s="216">
        <f>J47</f>
        <v>0</v>
      </c>
      <c r="K46" s="216">
        <f>K47</f>
        <v>0</v>
      </c>
    </row>
    <row r="47" spans="1:11" ht="42.75" customHeight="1" hidden="1">
      <c r="A47" s="181" t="s">
        <v>295</v>
      </c>
      <c r="B47" s="182">
        <v>250</v>
      </c>
      <c r="C47" s="192" t="s">
        <v>126</v>
      </c>
      <c r="D47" s="192" t="s">
        <v>296</v>
      </c>
      <c r="E47" s="192" t="s">
        <v>124</v>
      </c>
      <c r="F47" s="192" t="s">
        <v>297</v>
      </c>
      <c r="G47" s="182"/>
      <c r="H47" s="192" t="s">
        <v>125</v>
      </c>
      <c r="I47" s="188">
        <f aca="true" t="shared" si="1" ref="I47:K49">I48</f>
        <v>0</v>
      </c>
      <c r="J47" s="188">
        <f t="shared" si="1"/>
        <v>0</v>
      </c>
      <c r="K47" s="188">
        <f t="shared" si="1"/>
        <v>0</v>
      </c>
    </row>
    <row r="48" spans="1:11" ht="31.5" customHeight="1" hidden="1">
      <c r="A48" s="189" t="s">
        <v>153</v>
      </c>
      <c r="B48" s="182">
        <v>250</v>
      </c>
      <c r="C48" s="192" t="s">
        <v>126</v>
      </c>
      <c r="D48" s="192" t="s">
        <v>296</v>
      </c>
      <c r="E48" s="192" t="s">
        <v>124</v>
      </c>
      <c r="F48" s="192" t="s">
        <v>297</v>
      </c>
      <c r="G48" s="191" t="s">
        <v>127</v>
      </c>
      <c r="H48" s="191" t="s">
        <v>125</v>
      </c>
      <c r="I48" s="188">
        <f t="shared" si="1"/>
        <v>0</v>
      </c>
      <c r="J48" s="188">
        <f t="shared" si="1"/>
        <v>0</v>
      </c>
      <c r="K48" s="188">
        <f t="shared" si="1"/>
        <v>0</v>
      </c>
    </row>
    <row r="49" spans="1:11" ht="31.5" customHeight="1" hidden="1">
      <c r="A49" s="181" t="s">
        <v>248</v>
      </c>
      <c r="B49" s="182">
        <v>250</v>
      </c>
      <c r="C49" s="192" t="s">
        <v>126</v>
      </c>
      <c r="D49" s="192" t="s">
        <v>296</v>
      </c>
      <c r="E49" s="192" t="s">
        <v>124</v>
      </c>
      <c r="F49" s="192" t="s">
        <v>297</v>
      </c>
      <c r="G49" s="191" t="s">
        <v>249</v>
      </c>
      <c r="H49" s="191"/>
      <c r="I49" s="200">
        <f t="shared" si="1"/>
        <v>0</v>
      </c>
      <c r="J49" s="200">
        <f t="shared" si="1"/>
        <v>0</v>
      </c>
      <c r="K49" s="200">
        <f t="shared" si="1"/>
        <v>0</v>
      </c>
    </row>
    <row r="50" spans="1:11" ht="51" customHeight="1" hidden="1">
      <c r="A50" s="217" t="s">
        <v>160</v>
      </c>
      <c r="B50" s="182">
        <v>250</v>
      </c>
      <c r="C50" s="192" t="s">
        <v>126</v>
      </c>
      <c r="D50" s="192" t="s">
        <v>296</v>
      </c>
      <c r="E50" s="192" t="s">
        <v>124</v>
      </c>
      <c r="F50" s="192" t="s">
        <v>297</v>
      </c>
      <c r="G50" s="191" t="s">
        <v>179</v>
      </c>
      <c r="H50" s="191"/>
      <c r="I50" s="200">
        <v>0</v>
      </c>
      <c r="J50" s="200">
        <f>J52</f>
        <v>0</v>
      </c>
      <c r="K50" s="200">
        <v>0</v>
      </c>
    </row>
    <row r="51" spans="1:11" ht="18" customHeight="1" hidden="1">
      <c r="A51" s="218" t="s">
        <v>161</v>
      </c>
      <c r="B51" s="182">
        <v>250</v>
      </c>
      <c r="C51" s="192" t="s">
        <v>126</v>
      </c>
      <c r="D51" s="192" t="s">
        <v>296</v>
      </c>
      <c r="E51" s="192" t="s">
        <v>124</v>
      </c>
      <c r="F51" s="192" t="s">
        <v>297</v>
      </c>
      <c r="G51" s="191" t="s">
        <v>179</v>
      </c>
      <c r="H51" s="191"/>
      <c r="I51" s="200">
        <v>0</v>
      </c>
      <c r="J51" s="200"/>
      <c r="K51" s="200"/>
    </row>
    <row r="52" spans="1:11" ht="33" customHeight="1" hidden="1">
      <c r="A52" s="193" t="s">
        <v>298</v>
      </c>
      <c r="B52" s="182">
        <v>250</v>
      </c>
      <c r="C52" s="192" t="s">
        <v>126</v>
      </c>
      <c r="D52" s="192" t="s">
        <v>296</v>
      </c>
      <c r="E52" s="192" t="s">
        <v>124</v>
      </c>
      <c r="F52" s="192" t="s">
        <v>297</v>
      </c>
      <c r="G52" s="191" t="s">
        <v>179</v>
      </c>
      <c r="H52" s="191"/>
      <c r="I52" s="200">
        <v>0</v>
      </c>
      <c r="J52" s="204">
        <v>0</v>
      </c>
      <c r="K52" s="204">
        <v>0</v>
      </c>
    </row>
    <row r="53" spans="1:11" ht="33" customHeight="1" hidden="1">
      <c r="A53" s="193" t="s">
        <v>22</v>
      </c>
      <c r="B53" s="182">
        <v>250</v>
      </c>
      <c r="C53" s="192" t="s">
        <v>126</v>
      </c>
      <c r="D53" s="192" t="s">
        <v>296</v>
      </c>
      <c r="E53" s="192" t="s">
        <v>124</v>
      </c>
      <c r="F53" s="192" t="s">
        <v>297</v>
      </c>
      <c r="G53" s="191" t="s">
        <v>179</v>
      </c>
      <c r="H53" s="191"/>
      <c r="I53" s="200">
        <v>0</v>
      </c>
      <c r="J53" s="204"/>
      <c r="K53" s="204"/>
    </row>
    <row r="54" spans="1:13" ht="51" customHeight="1">
      <c r="A54" s="219" t="s">
        <v>241</v>
      </c>
      <c r="B54" s="186">
        <v>250</v>
      </c>
      <c r="C54" s="186" t="s">
        <v>1</v>
      </c>
      <c r="D54" s="186">
        <v>11</v>
      </c>
      <c r="E54" s="186" t="s">
        <v>3</v>
      </c>
      <c r="F54" s="183" t="s">
        <v>435</v>
      </c>
      <c r="G54" s="186"/>
      <c r="H54" s="220" t="s">
        <v>125</v>
      </c>
      <c r="I54" s="221">
        <f>I56</f>
        <v>10000</v>
      </c>
      <c r="J54" s="221">
        <f>J56</f>
        <v>10000</v>
      </c>
      <c r="K54" s="221">
        <f>K56</f>
        <v>0</v>
      </c>
      <c r="M54" s="98"/>
    </row>
    <row r="55" spans="1:11" ht="45">
      <c r="A55" s="189" t="s">
        <v>243</v>
      </c>
      <c r="B55" s="182">
        <v>250</v>
      </c>
      <c r="C55" s="176" t="s">
        <v>1</v>
      </c>
      <c r="D55" s="176">
        <v>11</v>
      </c>
      <c r="E55" s="176" t="s">
        <v>3</v>
      </c>
      <c r="F55" s="176" t="s">
        <v>409</v>
      </c>
      <c r="G55" s="176"/>
      <c r="H55" s="192" t="s">
        <v>125</v>
      </c>
      <c r="I55" s="200">
        <f aca="true" t="shared" si="2" ref="I55:K57">I56</f>
        <v>10000</v>
      </c>
      <c r="J55" s="200">
        <f t="shared" si="2"/>
        <v>10000</v>
      </c>
      <c r="K55" s="200">
        <f t="shared" si="2"/>
        <v>0</v>
      </c>
    </row>
    <row r="56" spans="1:11" ht="25.5" customHeight="1">
      <c r="A56" s="189" t="s">
        <v>219</v>
      </c>
      <c r="B56" s="182">
        <v>250</v>
      </c>
      <c r="C56" s="176" t="s">
        <v>1</v>
      </c>
      <c r="D56" s="176">
        <v>11</v>
      </c>
      <c r="E56" s="176" t="s">
        <v>113</v>
      </c>
      <c r="F56" s="176" t="s">
        <v>409</v>
      </c>
      <c r="G56" s="182">
        <v>800</v>
      </c>
      <c r="H56" s="192" t="s">
        <v>125</v>
      </c>
      <c r="I56" s="200">
        <f t="shared" si="2"/>
        <v>10000</v>
      </c>
      <c r="J56" s="200">
        <f t="shared" si="2"/>
        <v>10000</v>
      </c>
      <c r="K56" s="200">
        <f t="shared" si="2"/>
        <v>0</v>
      </c>
    </row>
    <row r="57" spans="1:11" ht="21.75" customHeight="1">
      <c r="A57" s="189" t="s">
        <v>244</v>
      </c>
      <c r="B57" s="182">
        <v>250</v>
      </c>
      <c r="C57" s="176" t="s">
        <v>1</v>
      </c>
      <c r="D57" s="176">
        <v>11</v>
      </c>
      <c r="E57" s="176" t="s">
        <v>113</v>
      </c>
      <c r="F57" s="176" t="s">
        <v>409</v>
      </c>
      <c r="G57" s="176">
        <v>870</v>
      </c>
      <c r="H57" s="192" t="s">
        <v>125</v>
      </c>
      <c r="I57" s="200">
        <f>I58</f>
        <v>10000</v>
      </c>
      <c r="J57" s="200">
        <f t="shared" si="2"/>
        <v>10000</v>
      </c>
      <c r="K57" s="200">
        <f t="shared" si="2"/>
        <v>0</v>
      </c>
    </row>
    <row r="58" spans="1:11" ht="15.75" hidden="1">
      <c r="A58" s="193" t="s">
        <v>19</v>
      </c>
      <c r="B58" s="194">
        <v>250</v>
      </c>
      <c r="C58" s="195" t="s">
        <v>1</v>
      </c>
      <c r="D58" s="195">
        <v>11</v>
      </c>
      <c r="E58" s="195" t="s">
        <v>113</v>
      </c>
      <c r="F58" s="195"/>
      <c r="G58" s="195">
        <v>870</v>
      </c>
      <c r="H58" s="192" t="s">
        <v>245</v>
      </c>
      <c r="I58" s="200">
        <v>10000</v>
      </c>
      <c r="J58" s="204">
        <v>10000</v>
      </c>
      <c r="K58" s="204">
        <v>0</v>
      </c>
    </row>
    <row r="59" spans="1:13" ht="49.5" customHeight="1">
      <c r="A59" s="219" t="s">
        <v>237</v>
      </c>
      <c r="B59" s="186">
        <v>250</v>
      </c>
      <c r="C59" s="220" t="s">
        <v>126</v>
      </c>
      <c r="D59" s="220" t="s">
        <v>198</v>
      </c>
      <c r="E59" s="220" t="s">
        <v>124</v>
      </c>
      <c r="F59" s="220" t="s">
        <v>257</v>
      </c>
      <c r="G59" s="186"/>
      <c r="H59" s="220" t="s">
        <v>125</v>
      </c>
      <c r="I59" s="221">
        <f>I60</f>
        <v>700</v>
      </c>
      <c r="J59" s="188">
        <f>J60</f>
        <v>700</v>
      </c>
      <c r="K59" s="188">
        <f>K60</f>
        <v>700</v>
      </c>
      <c r="M59" s="120"/>
    </row>
    <row r="60" spans="1:11" ht="195">
      <c r="A60" s="130" t="s">
        <v>537</v>
      </c>
      <c r="B60" s="182">
        <v>250</v>
      </c>
      <c r="C60" s="182" t="s">
        <v>1</v>
      </c>
      <c r="D60" s="182">
        <v>13</v>
      </c>
      <c r="E60" s="182" t="s">
        <v>3</v>
      </c>
      <c r="F60" s="182" t="s">
        <v>410</v>
      </c>
      <c r="G60" s="182"/>
      <c r="H60" s="192" t="s">
        <v>125</v>
      </c>
      <c r="I60" s="188">
        <f aca="true" t="shared" si="3" ref="I60:K63">I61</f>
        <v>700</v>
      </c>
      <c r="J60" s="188">
        <f t="shared" si="3"/>
        <v>700</v>
      </c>
      <c r="K60" s="188">
        <f t="shared" si="3"/>
        <v>700</v>
      </c>
    </row>
    <row r="61" spans="1:11" ht="33.75" customHeight="1">
      <c r="A61" s="189" t="s">
        <v>153</v>
      </c>
      <c r="B61" s="182">
        <v>250</v>
      </c>
      <c r="C61" s="191" t="s">
        <v>126</v>
      </c>
      <c r="D61" s="191" t="s">
        <v>198</v>
      </c>
      <c r="E61" s="191" t="s">
        <v>199</v>
      </c>
      <c r="F61" s="176" t="s">
        <v>410</v>
      </c>
      <c r="G61" s="192" t="s">
        <v>127</v>
      </c>
      <c r="H61" s="191" t="s">
        <v>125</v>
      </c>
      <c r="I61" s="188">
        <f t="shared" si="3"/>
        <v>700</v>
      </c>
      <c r="J61" s="188">
        <f t="shared" si="3"/>
        <v>700</v>
      </c>
      <c r="K61" s="188">
        <f t="shared" si="3"/>
        <v>700</v>
      </c>
    </row>
    <row r="62" spans="1:11" ht="31.5">
      <c r="A62" s="181" t="s">
        <v>248</v>
      </c>
      <c r="B62" s="182">
        <v>250</v>
      </c>
      <c r="C62" s="191" t="s">
        <v>126</v>
      </c>
      <c r="D62" s="191" t="s">
        <v>198</v>
      </c>
      <c r="E62" s="191" t="s">
        <v>199</v>
      </c>
      <c r="F62" s="176" t="s">
        <v>410</v>
      </c>
      <c r="G62" s="191" t="s">
        <v>249</v>
      </c>
      <c r="H62" s="191"/>
      <c r="I62" s="200">
        <f t="shared" si="3"/>
        <v>700</v>
      </c>
      <c r="J62" s="200">
        <f t="shared" si="3"/>
        <v>700</v>
      </c>
      <c r="K62" s="200">
        <f t="shared" si="3"/>
        <v>700</v>
      </c>
    </row>
    <row r="63" spans="1:11" ht="31.5">
      <c r="A63" s="217" t="s">
        <v>491</v>
      </c>
      <c r="B63" s="182">
        <v>250</v>
      </c>
      <c r="C63" s="191" t="s">
        <v>126</v>
      </c>
      <c r="D63" s="191" t="s">
        <v>198</v>
      </c>
      <c r="E63" s="191" t="s">
        <v>199</v>
      </c>
      <c r="F63" s="176" t="s">
        <v>410</v>
      </c>
      <c r="G63" s="191" t="s">
        <v>179</v>
      </c>
      <c r="H63" s="191"/>
      <c r="I63" s="200">
        <f t="shared" si="3"/>
        <v>700</v>
      </c>
      <c r="J63" s="200">
        <f t="shared" si="3"/>
        <v>700</v>
      </c>
      <c r="K63" s="200">
        <f t="shared" si="3"/>
        <v>700</v>
      </c>
    </row>
    <row r="64" spans="1:11" ht="30" hidden="1">
      <c r="A64" s="193" t="s">
        <v>250</v>
      </c>
      <c r="B64" s="182">
        <v>250</v>
      </c>
      <c r="C64" s="191" t="s">
        <v>126</v>
      </c>
      <c r="D64" s="191" t="s">
        <v>198</v>
      </c>
      <c r="E64" s="191" t="s">
        <v>199</v>
      </c>
      <c r="F64" s="182"/>
      <c r="G64" s="191" t="s">
        <v>179</v>
      </c>
      <c r="H64" s="191"/>
      <c r="I64" s="200">
        <v>700</v>
      </c>
      <c r="J64" s="204">
        <v>700</v>
      </c>
      <c r="K64" s="204">
        <v>700</v>
      </c>
    </row>
    <row r="65" spans="1:11" ht="15.75">
      <c r="A65" s="219" t="s">
        <v>68</v>
      </c>
      <c r="B65" s="186">
        <v>250</v>
      </c>
      <c r="C65" s="186" t="s">
        <v>39</v>
      </c>
      <c r="D65" s="220" t="s">
        <v>123</v>
      </c>
      <c r="E65" s="186" t="s">
        <v>124</v>
      </c>
      <c r="F65" s="186"/>
      <c r="G65" s="186"/>
      <c r="H65" s="220" t="s">
        <v>125</v>
      </c>
      <c r="I65" s="188">
        <f aca="true" t="shared" si="4" ref="I65:K66">I66</f>
        <v>151600</v>
      </c>
      <c r="J65" s="188">
        <f t="shared" si="4"/>
        <v>147700</v>
      </c>
      <c r="K65" s="188">
        <f t="shared" si="4"/>
        <v>153100</v>
      </c>
    </row>
    <row r="66" spans="1:12" s="95" customFormat="1" ht="30" hidden="1">
      <c r="A66" s="222" t="s">
        <v>67</v>
      </c>
      <c r="B66" s="223">
        <v>250</v>
      </c>
      <c r="C66" s="224" t="s">
        <v>39</v>
      </c>
      <c r="D66" s="224" t="s">
        <v>43</v>
      </c>
      <c r="E66" s="224" t="s">
        <v>124</v>
      </c>
      <c r="F66" s="224" t="s">
        <v>258</v>
      </c>
      <c r="G66" s="224"/>
      <c r="H66" s="225" t="s">
        <v>125</v>
      </c>
      <c r="I66" s="226">
        <f t="shared" si="4"/>
        <v>151600</v>
      </c>
      <c r="J66" s="226">
        <f t="shared" si="4"/>
        <v>147700</v>
      </c>
      <c r="K66" s="226">
        <f t="shared" si="4"/>
        <v>153100</v>
      </c>
      <c r="L66" s="95" t="s">
        <v>415</v>
      </c>
    </row>
    <row r="67" spans="1:11" ht="75">
      <c r="A67" s="189" t="s">
        <v>487</v>
      </c>
      <c r="B67" s="182">
        <v>250</v>
      </c>
      <c r="C67" s="176" t="s">
        <v>39</v>
      </c>
      <c r="D67" s="176" t="s">
        <v>43</v>
      </c>
      <c r="E67" s="176" t="s">
        <v>197</v>
      </c>
      <c r="F67" s="176" t="s">
        <v>259</v>
      </c>
      <c r="G67" s="176"/>
      <c r="H67" s="191" t="s">
        <v>125</v>
      </c>
      <c r="I67" s="227">
        <f>I68+I74</f>
        <v>151600</v>
      </c>
      <c r="J67" s="190">
        <f>J68+J74</f>
        <v>147700</v>
      </c>
      <c r="K67" s="190">
        <f>K68+K74</f>
        <v>153100</v>
      </c>
    </row>
    <row r="68" spans="1:11" ht="128.25" customHeight="1">
      <c r="A68" s="189" t="s">
        <v>246</v>
      </c>
      <c r="B68" s="182">
        <v>250</v>
      </c>
      <c r="C68" s="176" t="s">
        <v>39</v>
      </c>
      <c r="D68" s="176" t="s">
        <v>43</v>
      </c>
      <c r="E68" s="176" t="s">
        <v>197</v>
      </c>
      <c r="F68" s="176" t="s">
        <v>259</v>
      </c>
      <c r="G68" s="182">
        <v>100</v>
      </c>
      <c r="H68" s="191"/>
      <c r="I68" s="190">
        <f aca="true" t="shared" si="5" ref="I68:K69">I69</f>
        <v>140616</v>
      </c>
      <c r="J68" s="190">
        <f t="shared" si="5"/>
        <v>140616</v>
      </c>
      <c r="K68" s="190">
        <f t="shared" si="5"/>
        <v>140616</v>
      </c>
    </row>
    <row r="69" spans="1:11" ht="45">
      <c r="A69" s="189" t="s">
        <v>247</v>
      </c>
      <c r="B69" s="182">
        <v>250</v>
      </c>
      <c r="C69" s="176" t="s">
        <v>39</v>
      </c>
      <c r="D69" s="176" t="s">
        <v>43</v>
      </c>
      <c r="E69" s="176" t="s">
        <v>197</v>
      </c>
      <c r="F69" s="176" t="s">
        <v>259</v>
      </c>
      <c r="G69" s="176">
        <v>120</v>
      </c>
      <c r="H69" s="191"/>
      <c r="I69" s="190">
        <f t="shared" si="5"/>
        <v>140616</v>
      </c>
      <c r="J69" s="190">
        <f t="shared" si="5"/>
        <v>140616</v>
      </c>
      <c r="K69" s="190">
        <f t="shared" si="5"/>
        <v>140616</v>
      </c>
    </row>
    <row r="70" spans="1:13" ht="26.25" customHeight="1" hidden="1">
      <c r="A70" s="189" t="s">
        <v>375</v>
      </c>
      <c r="B70" s="182">
        <v>250</v>
      </c>
      <c r="C70" s="176" t="s">
        <v>39</v>
      </c>
      <c r="D70" s="176" t="s">
        <v>43</v>
      </c>
      <c r="E70" s="176" t="s">
        <v>197</v>
      </c>
      <c r="F70" s="176" t="s">
        <v>259</v>
      </c>
      <c r="G70" s="176">
        <v>121</v>
      </c>
      <c r="H70" s="176">
        <v>210</v>
      </c>
      <c r="I70" s="190">
        <f>I71+I72</f>
        <v>140616</v>
      </c>
      <c r="J70" s="190">
        <f>J71+J72</f>
        <v>140616</v>
      </c>
      <c r="K70" s="190">
        <f>K71+K72</f>
        <v>140616</v>
      </c>
      <c r="M70" s="40"/>
    </row>
    <row r="71" spans="1:13" ht="15.75" hidden="1">
      <c r="A71" s="193" t="s">
        <v>10</v>
      </c>
      <c r="B71" s="194">
        <v>250</v>
      </c>
      <c r="C71" s="195" t="s">
        <v>39</v>
      </c>
      <c r="D71" s="195" t="s">
        <v>43</v>
      </c>
      <c r="E71" s="195" t="s">
        <v>197</v>
      </c>
      <c r="F71" s="195" t="s">
        <v>259</v>
      </c>
      <c r="G71" s="195">
        <v>211</v>
      </c>
      <c r="H71" s="195">
        <v>211</v>
      </c>
      <c r="I71" s="190">
        <v>108000</v>
      </c>
      <c r="J71" s="190">
        <v>108000</v>
      </c>
      <c r="K71" s="190">
        <f>9000*12</f>
        <v>108000</v>
      </c>
      <c r="M71" s="40"/>
    </row>
    <row r="72" spans="1:13" ht="75" hidden="1">
      <c r="A72" s="193" t="s">
        <v>376</v>
      </c>
      <c r="B72" s="194">
        <v>250</v>
      </c>
      <c r="C72" s="228" t="s">
        <v>146</v>
      </c>
      <c r="D72" s="228" t="s">
        <v>176</v>
      </c>
      <c r="E72" s="195"/>
      <c r="F72" s="195" t="s">
        <v>259</v>
      </c>
      <c r="G72" s="195">
        <v>129</v>
      </c>
      <c r="H72" s="176"/>
      <c r="I72" s="190">
        <v>32616</v>
      </c>
      <c r="J72" s="190">
        <f>J73</f>
        <v>32616</v>
      </c>
      <c r="K72" s="190">
        <f>K73</f>
        <v>32616</v>
      </c>
      <c r="M72" s="40"/>
    </row>
    <row r="73" spans="1:11" ht="14.25" customHeight="1" hidden="1">
      <c r="A73" s="193" t="s">
        <v>12</v>
      </c>
      <c r="B73" s="194">
        <v>250</v>
      </c>
      <c r="C73" s="195" t="s">
        <v>39</v>
      </c>
      <c r="D73" s="195" t="s">
        <v>43</v>
      </c>
      <c r="E73" s="195" t="s">
        <v>197</v>
      </c>
      <c r="F73" s="195" t="s">
        <v>259</v>
      </c>
      <c r="G73" s="195">
        <v>213</v>
      </c>
      <c r="H73" s="195">
        <v>213</v>
      </c>
      <c r="I73" s="190">
        <f>I71*30.2%</f>
        <v>32616</v>
      </c>
      <c r="J73" s="190">
        <f>J71*30.2%</f>
        <v>32616</v>
      </c>
      <c r="K73" s="190">
        <f>K71*30.2%</f>
        <v>32616</v>
      </c>
    </row>
    <row r="74" spans="1:11" ht="25.5" customHeight="1">
      <c r="A74" s="189" t="s">
        <v>153</v>
      </c>
      <c r="B74" s="182">
        <v>250</v>
      </c>
      <c r="C74" s="176" t="s">
        <v>39</v>
      </c>
      <c r="D74" s="176" t="s">
        <v>43</v>
      </c>
      <c r="E74" s="176" t="s">
        <v>197</v>
      </c>
      <c r="F74" s="176" t="s">
        <v>259</v>
      </c>
      <c r="G74" s="182">
        <v>200</v>
      </c>
      <c r="H74" s="176"/>
      <c r="I74" s="190">
        <f>I75</f>
        <v>10984</v>
      </c>
      <c r="J74" s="190">
        <f>J76+J78</f>
        <v>7084</v>
      </c>
      <c r="K74" s="190">
        <f>K76+K78</f>
        <v>12484</v>
      </c>
    </row>
    <row r="75" spans="1:11" ht="28.5" customHeight="1">
      <c r="A75" s="189" t="s">
        <v>248</v>
      </c>
      <c r="B75" s="182">
        <v>250</v>
      </c>
      <c r="C75" s="176" t="s">
        <v>39</v>
      </c>
      <c r="D75" s="176" t="s">
        <v>43</v>
      </c>
      <c r="E75" s="176" t="s">
        <v>197</v>
      </c>
      <c r="F75" s="176" t="s">
        <v>259</v>
      </c>
      <c r="G75" s="176">
        <v>240</v>
      </c>
      <c r="H75" s="176"/>
      <c r="I75" s="190">
        <f>I78+I76</f>
        <v>10984</v>
      </c>
      <c r="J75" s="190">
        <f>J78+J76</f>
        <v>7084</v>
      </c>
      <c r="K75" s="190">
        <f>K78+K76</f>
        <v>12484</v>
      </c>
    </row>
    <row r="76" spans="1:11" ht="42" customHeight="1" hidden="1">
      <c r="A76" s="189" t="s">
        <v>154</v>
      </c>
      <c r="B76" s="182">
        <v>250</v>
      </c>
      <c r="C76" s="176" t="s">
        <v>39</v>
      </c>
      <c r="D76" s="176" t="s">
        <v>43</v>
      </c>
      <c r="E76" s="176" t="s">
        <v>197</v>
      </c>
      <c r="F76" s="176" t="s">
        <v>259</v>
      </c>
      <c r="G76" s="176">
        <v>242</v>
      </c>
      <c r="H76" s="176"/>
      <c r="I76" s="190">
        <f>I77</f>
        <v>0</v>
      </c>
      <c r="J76" s="190">
        <f>J77</f>
        <v>0</v>
      </c>
      <c r="K76" s="190">
        <f>K77</f>
        <v>0</v>
      </c>
    </row>
    <row r="77" spans="1:11" ht="15" customHeight="1" hidden="1">
      <c r="A77" s="193" t="s">
        <v>14</v>
      </c>
      <c r="B77" s="194">
        <v>250</v>
      </c>
      <c r="C77" s="195" t="s">
        <v>39</v>
      </c>
      <c r="D77" s="195" t="s">
        <v>43</v>
      </c>
      <c r="E77" s="195" t="s">
        <v>197</v>
      </c>
      <c r="F77" s="195" t="s">
        <v>259</v>
      </c>
      <c r="G77" s="195">
        <v>221</v>
      </c>
      <c r="H77" s="176">
        <v>221</v>
      </c>
      <c r="I77" s="190">
        <v>0</v>
      </c>
      <c r="J77" s="204">
        <v>0</v>
      </c>
      <c r="K77" s="204">
        <v>0</v>
      </c>
    </row>
    <row r="78" spans="1:11" ht="42" customHeight="1">
      <c r="A78" s="189" t="s">
        <v>491</v>
      </c>
      <c r="B78" s="182">
        <v>250</v>
      </c>
      <c r="C78" s="176" t="s">
        <v>39</v>
      </c>
      <c r="D78" s="176" t="s">
        <v>43</v>
      </c>
      <c r="E78" s="176" t="s">
        <v>197</v>
      </c>
      <c r="F78" s="176" t="s">
        <v>259</v>
      </c>
      <c r="G78" s="176">
        <v>244</v>
      </c>
      <c r="H78" s="176">
        <v>200</v>
      </c>
      <c r="I78" s="190">
        <f>I80+I79</f>
        <v>10984</v>
      </c>
      <c r="J78" s="190">
        <f>J80+J79</f>
        <v>7084</v>
      </c>
      <c r="K78" s="190">
        <f>K80+K79</f>
        <v>12484</v>
      </c>
    </row>
    <row r="79" spans="1:11" ht="15" customHeight="1" hidden="1">
      <c r="A79" s="193" t="s">
        <v>15</v>
      </c>
      <c r="B79" s="194">
        <v>250</v>
      </c>
      <c r="C79" s="195" t="s">
        <v>39</v>
      </c>
      <c r="D79" s="195" t="s">
        <v>43</v>
      </c>
      <c r="E79" s="195" t="s">
        <v>197</v>
      </c>
      <c r="F79" s="195" t="s">
        <v>259</v>
      </c>
      <c r="G79" s="195">
        <v>222</v>
      </c>
      <c r="H79" s="195"/>
      <c r="I79" s="190"/>
      <c r="J79" s="190"/>
      <c r="K79" s="190"/>
    </row>
    <row r="80" spans="1:11" ht="29.25" customHeight="1" hidden="1">
      <c r="A80" s="193" t="s">
        <v>22</v>
      </c>
      <c r="B80" s="194">
        <v>250</v>
      </c>
      <c r="C80" s="195" t="s">
        <v>39</v>
      </c>
      <c r="D80" s="195" t="s">
        <v>43</v>
      </c>
      <c r="E80" s="195" t="s">
        <v>197</v>
      </c>
      <c r="F80" s="194" t="s">
        <v>259</v>
      </c>
      <c r="G80" s="195">
        <v>340</v>
      </c>
      <c r="H80" s="195">
        <v>340</v>
      </c>
      <c r="I80" s="190">
        <f>2784-600+8800</f>
        <v>10984</v>
      </c>
      <c r="J80" s="190">
        <f>7784-700</f>
        <v>7084</v>
      </c>
      <c r="K80" s="190">
        <f>13084-600</f>
        <v>12484</v>
      </c>
    </row>
    <row r="81" spans="1:11" ht="45" customHeight="1">
      <c r="A81" s="219" t="s">
        <v>303</v>
      </c>
      <c r="B81" s="186">
        <v>250</v>
      </c>
      <c r="C81" s="186" t="s">
        <v>43</v>
      </c>
      <c r="D81" s="186" t="s">
        <v>430</v>
      </c>
      <c r="E81" s="186"/>
      <c r="F81" s="220" t="s">
        <v>488</v>
      </c>
      <c r="G81" s="229" t="s">
        <v>125</v>
      </c>
      <c r="H81" s="186"/>
      <c r="I81" s="188">
        <f>I82</f>
        <v>10000</v>
      </c>
      <c r="J81" s="188">
        <f>J82</f>
        <v>10000</v>
      </c>
      <c r="K81" s="188">
        <f>K82</f>
        <v>0</v>
      </c>
    </row>
    <row r="82" spans="1:11" ht="57.75" customHeight="1">
      <c r="A82" s="230" t="s">
        <v>498</v>
      </c>
      <c r="B82" s="182">
        <v>250</v>
      </c>
      <c r="C82" s="231" t="s">
        <v>176</v>
      </c>
      <c r="D82" s="231" t="s">
        <v>418</v>
      </c>
      <c r="E82" s="232"/>
      <c r="F82" s="220" t="s">
        <v>488</v>
      </c>
      <c r="G82" s="191"/>
      <c r="H82" s="191"/>
      <c r="I82" s="188">
        <f>I83+I90+I98</f>
        <v>10000</v>
      </c>
      <c r="J82" s="190">
        <f>J83+J90+J98</f>
        <v>10000</v>
      </c>
      <c r="K82" s="190">
        <f>K83+K90</f>
        <v>0</v>
      </c>
    </row>
    <row r="83" spans="1:11" ht="77.25" customHeight="1">
      <c r="A83" s="233" t="s">
        <v>377</v>
      </c>
      <c r="B83" s="183">
        <v>250</v>
      </c>
      <c r="C83" s="229" t="s">
        <v>176</v>
      </c>
      <c r="D83" s="229" t="s">
        <v>41</v>
      </c>
      <c r="E83" s="234" t="s">
        <v>292</v>
      </c>
      <c r="F83" s="183" t="s">
        <v>436</v>
      </c>
      <c r="G83" s="229"/>
      <c r="H83" s="229"/>
      <c r="I83" s="200">
        <f>I85</f>
        <v>10000</v>
      </c>
      <c r="J83" s="200">
        <f>J85</f>
        <v>10000</v>
      </c>
      <c r="K83" s="200">
        <f>K85</f>
        <v>0</v>
      </c>
    </row>
    <row r="84" spans="1:11" ht="49.5" customHeight="1">
      <c r="A84" s="233" t="s">
        <v>417</v>
      </c>
      <c r="B84" s="183">
        <v>250</v>
      </c>
      <c r="C84" s="229" t="s">
        <v>176</v>
      </c>
      <c r="D84" s="229" t="s">
        <v>418</v>
      </c>
      <c r="E84" s="234"/>
      <c r="F84" s="183" t="s">
        <v>416</v>
      </c>
      <c r="G84" s="229"/>
      <c r="H84" s="229"/>
      <c r="I84" s="200">
        <f>I85</f>
        <v>10000</v>
      </c>
      <c r="J84" s="200">
        <f>J85</f>
        <v>10000</v>
      </c>
      <c r="K84" s="200">
        <f>K85</f>
        <v>0</v>
      </c>
    </row>
    <row r="85" spans="1:11" ht="36" customHeight="1">
      <c r="A85" s="189" t="s">
        <v>153</v>
      </c>
      <c r="B85" s="182">
        <v>250</v>
      </c>
      <c r="C85" s="191" t="s">
        <v>176</v>
      </c>
      <c r="D85" s="231" t="s">
        <v>41</v>
      </c>
      <c r="E85" s="191" t="s">
        <v>188</v>
      </c>
      <c r="F85" s="199" t="s">
        <v>416</v>
      </c>
      <c r="G85" s="182">
        <v>200</v>
      </c>
      <c r="H85" s="176">
        <v>0</v>
      </c>
      <c r="I85" s="190">
        <f aca="true" t="shared" si="6" ref="I85:K86">I86</f>
        <v>10000</v>
      </c>
      <c r="J85" s="190">
        <f t="shared" si="6"/>
        <v>10000</v>
      </c>
      <c r="K85" s="190">
        <f t="shared" si="6"/>
        <v>0</v>
      </c>
    </row>
    <row r="86" spans="1:11" ht="35.25" customHeight="1">
      <c r="A86" s="189" t="s">
        <v>248</v>
      </c>
      <c r="B86" s="182">
        <v>250</v>
      </c>
      <c r="C86" s="191" t="s">
        <v>176</v>
      </c>
      <c r="D86" s="231" t="s">
        <v>41</v>
      </c>
      <c r="E86" s="191" t="s">
        <v>188</v>
      </c>
      <c r="F86" s="183" t="str">
        <f>F85</f>
        <v>79 5 01 90140</v>
      </c>
      <c r="G86" s="176">
        <v>240</v>
      </c>
      <c r="H86" s="176"/>
      <c r="I86" s="204">
        <f t="shared" si="6"/>
        <v>10000</v>
      </c>
      <c r="J86" s="204">
        <f t="shared" si="6"/>
        <v>10000</v>
      </c>
      <c r="K86" s="204">
        <f t="shared" si="6"/>
        <v>0</v>
      </c>
    </row>
    <row r="87" spans="1:11" ht="30.75" customHeight="1">
      <c r="A87" s="189" t="s">
        <v>491</v>
      </c>
      <c r="B87" s="182">
        <v>250</v>
      </c>
      <c r="C87" s="191" t="s">
        <v>176</v>
      </c>
      <c r="D87" s="231" t="s">
        <v>41</v>
      </c>
      <c r="E87" s="191" t="s">
        <v>188</v>
      </c>
      <c r="F87" s="183" t="str">
        <f>F85</f>
        <v>79 5 01 90140</v>
      </c>
      <c r="G87" s="176">
        <v>244</v>
      </c>
      <c r="H87" s="176"/>
      <c r="I87" s="190">
        <f>I88</f>
        <v>10000</v>
      </c>
      <c r="J87" s="190">
        <f>J88+J89</f>
        <v>10000</v>
      </c>
      <c r="K87" s="190">
        <f>K89+K88</f>
        <v>0</v>
      </c>
    </row>
    <row r="88" spans="1:11" ht="13.5" customHeight="1" hidden="1">
      <c r="A88" s="193" t="s">
        <v>161</v>
      </c>
      <c r="B88" s="194">
        <v>250</v>
      </c>
      <c r="C88" s="228" t="s">
        <v>176</v>
      </c>
      <c r="D88" s="235" t="s">
        <v>41</v>
      </c>
      <c r="E88" s="228" t="s">
        <v>188</v>
      </c>
      <c r="F88" s="236" t="s">
        <v>312</v>
      </c>
      <c r="G88" s="195">
        <v>226</v>
      </c>
      <c r="H88" s="176">
        <v>290</v>
      </c>
      <c r="I88" s="190">
        <v>10000</v>
      </c>
      <c r="J88" s="204">
        <v>10000</v>
      </c>
      <c r="K88" s="204">
        <v>0</v>
      </c>
    </row>
    <row r="89" spans="1:11" ht="30" customHeight="1" hidden="1">
      <c r="A89" s="193" t="s">
        <v>22</v>
      </c>
      <c r="B89" s="194">
        <v>250</v>
      </c>
      <c r="C89" s="228" t="s">
        <v>176</v>
      </c>
      <c r="D89" s="235" t="s">
        <v>41</v>
      </c>
      <c r="E89" s="228" t="s">
        <v>188</v>
      </c>
      <c r="F89" s="236" t="s">
        <v>312</v>
      </c>
      <c r="G89" s="195">
        <v>340</v>
      </c>
      <c r="H89" s="176">
        <v>290</v>
      </c>
      <c r="I89" s="190">
        <v>0</v>
      </c>
      <c r="J89" s="204"/>
      <c r="K89" s="204"/>
    </row>
    <row r="90" spans="1:11" ht="81" customHeight="1" hidden="1">
      <c r="A90" s="237" t="s">
        <v>313</v>
      </c>
      <c r="B90" s="214">
        <v>250</v>
      </c>
      <c r="C90" s="238" t="s">
        <v>176</v>
      </c>
      <c r="D90" s="238" t="s">
        <v>187</v>
      </c>
      <c r="E90" s="239" t="s">
        <v>188</v>
      </c>
      <c r="F90" s="240" t="s">
        <v>314</v>
      </c>
      <c r="G90" s="239"/>
      <c r="H90" s="239" t="s">
        <v>125</v>
      </c>
      <c r="I90" s="241">
        <f>I92</f>
        <v>0</v>
      </c>
      <c r="J90" s="241">
        <f>J92</f>
        <v>0</v>
      </c>
      <c r="K90" s="241">
        <f>K92</f>
        <v>0</v>
      </c>
    </row>
    <row r="91" spans="1:11" ht="106.5" customHeight="1" hidden="1">
      <c r="A91" s="189" t="s">
        <v>218</v>
      </c>
      <c r="B91" s="182">
        <v>250</v>
      </c>
      <c r="C91" s="191" t="s">
        <v>176</v>
      </c>
      <c r="D91" s="191" t="s">
        <v>187</v>
      </c>
      <c r="E91" s="191" t="s">
        <v>188</v>
      </c>
      <c r="F91" s="183" t="s">
        <v>314</v>
      </c>
      <c r="G91" s="191"/>
      <c r="H91" s="191" t="s">
        <v>125</v>
      </c>
      <c r="I91" s="190">
        <f>I92</f>
        <v>0</v>
      </c>
      <c r="J91" s="190">
        <f>J92</f>
        <v>0</v>
      </c>
      <c r="K91" s="190">
        <f>K92</f>
        <v>0</v>
      </c>
    </row>
    <row r="92" spans="1:11" ht="60.75" customHeight="1" hidden="1">
      <c r="A92" s="189" t="s">
        <v>158</v>
      </c>
      <c r="B92" s="182">
        <v>250</v>
      </c>
      <c r="C92" s="191" t="s">
        <v>176</v>
      </c>
      <c r="D92" s="191" t="s">
        <v>187</v>
      </c>
      <c r="E92" s="191" t="s">
        <v>188</v>
      </c>
      <c r="F92" s="183" t="s">
        <v>314</v>
      </c>
      <c r="G92" s="176">
        <v>244</v>
      </c>
      <c r="H92" s="176">
        <v>0</v>
      </c>
      <c r="I92" s="190">
        <f>I93</f>
        <v>0</v>
      </c>
      <c r="J92" s="190">
        <f>J93</f>
        <v>0</v>
      </c>
      <c r="K92" s="190">
        <f>K95</f>
        <v>0</v>
      </c>
    </row>
    <row r="93" spans="1:11" ht="35.25" customHeight="1" hidden="1">
      <c r="A93" s="189" t="s">
        <v>248</v>
      </c>
      <c r="B93" s="182">
        <v>250</v>
      </c>
      <c r="C93" s="191" t="s">
        <v>176</v>
      </c>
      <c r="D93" s="191" t="s">
        <v>187</v>
      </c>
      <c r="E93" s="191" t="s">
        <v>188</v>
      </c>
      <c r="F93" s="183" t="s">
        <v>314</v>
      </c>
      <c r="G93" s="176">
        <v>244</v>
      </c>
      <c r="H93" s="176"/>
      <c r="I93" s="204">
        <f aca="true" t="shared" si="7" ref="I93:K94">I94</f>
        <v>0</v>
      </c>
      <c r="J93" s="204">
        <f t="shared" si="7"/>
        <v>0</v>
      </c>
      <c r="K93" s="204">
        <f t="shared" si="7"/>
        <v>0</v>
      </c>
    </row>
    <row r="94" spans="1:11" ht="43.5" customHeight="1" hidden="1">
      <c r="A94" s="189" t="s">
        <v>160</v>
      </c>
      <c r="B94" s="182">
        <v>250</v>
      </c>
      <c r="C94" s="191" t="s">
        <v>176</v>
      </c>
      <c r="D94" s="191" t="s">
        <v>187</v>
      </c>
      <c r="E94" s="191" t="s">
        <v>188</v>
      </c>
      <c r="F94" s="183" t="s">
        <v>314</v>
      </c>
      <c r="G94" s="176">
        <v>244</v>
      </c>
      <c r="H94" s="176"/>
      <c r="I94" s="190">
        <f>I95+I96+I97</f>
        <v>0</v>
      </c>
      <c r="J94" s="190">
        <v>0</v>
      </c>
      <c r="K94" s="190">
        <f t="shared" si="7"/>
        <v>0</v>
      </c>
    </row>
    <row r="95" spans="1:11" ht="13.5" customHeight="1" hidden="1">
      <c r="A95" s="193" t="s">
        <v>19</v>
      </c>
      <c r="B95" s="182">
        <v>250</v>
      </c>
      <c r="C95" s="191" t="s">
        <v>176</v>
      </c>
      <c r="D95" s="191" t="s">
        <v>187</v>
      </c>
      <c r="E95" s="191" t="s">
        <v>188</v>
      </c>
      <c r="F95" s="183" t="s">
        <v>314</v>
      </c>
      <c r="G95" s="176">
        <v>244</v>
      </c>
      <c r="H95" s="176">
        <v>290</v>
      </c>
      <c r="I95" s="190">
        <v>0</v>
      </c>
      <c r="J95" s="190">
        <v>0</v>
      </c>
      <c r="K95" s="190">
        <v>0</v>
      </c>
    </row>
    <row r="96" spans="1:11" ht="13.5" customHeight="1" hidden="1">
      <c r="A96" s="193" t="s">
        <v>161</v>
      </c>
      <c r="B96" s="182">
        <v>250</v>
      </c>
      <c r="C96" s="191" t="s">
        <v>176</v>
      </c>
      <c r="D96" s="191" t="s">
        <v>187</v>
      </c>
      <c r="E96" s="191" t="s">
        <v>188</v>
      </c>
      <c r="F96" s="183" t="s">
        <v>314</v>
      </c>
      <c r="G96" s="176">
        <v>244</v>
      </c>
      <c r="H96" s="176"/>
      <c r="I96" s="190">
        <v>0</v>
      </c>
      <c r="J96" s="204">
        <v>0</v>
      </c>
      <c r="K96" s="204">
        <v>0</v>
      </c>
    </row>
    <row r="97" spans="1:11" ht="39" customHeight="1" hidden="1">
      <c r="A97" s="193" t="s">
        <v>22</v>
      </c>
      <c r="B97" s="182">
        <v>250</v>
      </c>
      <c r="C97" s="191" t="s">
        <v>176</v>
      </c>
      <c r="D97" s="191" t="s">
        <v>187</v>
      </c>
      <c r="E97" s="191" t="s">
        <v>188</v>
      </c>
      <c r="F97" s="183" t="s">
        <v>314</v>
      </c>
      <c r="G97" s="176">
        <v>244</v>
      </c>
      <c r="H97" s="176"/>
      <c r="I97" s="190">
        <v>0</v>
      </c>
      <c r="J97" s="204">
        <v>0</v>
      </c>
      <c r="K97" s="204">
        <v>0</v>
      </c>
    </row>
    <row r="98" spans="1:11" ht="75" customHeight="1" hidden="1">
      <c r="A98" s="242" t="s">
        <v>315</v>
      </c>
      <c r="B98" s="240">
        <v>250</v>
      </c>
      <c r="C98" s="238" t="s">
        <v>176</v>
      </c>
      <c r="D98" s="238" t="s">
        <v>187</v>
      </c>
      <c r="E98" s="239" t="s">
        <v>188</v>
      </c>
      <c r="F98" s="240" t="s">
        <v>437</v>
      </c>
      <c r="G98" s="240"/>
      <c r="H98" s="240"/>
      <c r="I98" s="241">
        <f aca="true" t="shared" si="8" ref="I98:K101">I99</f>
        <v>0</v>
      </c>
      <c r="J98" s="241">
        <f t="shared" si="8"/>
        <v>0</v>
      </c>
      <c r="K98" s="241">
        <f t="shared" si="8"/>
        <v>0</v>
      </c>
    </row>
    <row r="99" spans="1:11" ht="47.25" hidden="1">
      <c r="A99" s="243" t="s">
        <v>417</v>
      </c>
      <c r="B99" s="182">
        <v>250</v>
      </c>
      <c r="C99" s="191" t="s">
        <v>176</v>
      </c>
      <c r="D99" s="191" t="s">
        <v>187</v>
      </c>
      <c r="E99" s="191" t="s">
        <v>188</v>
      </c>
      <c r="F99" s="183" t="s">
        <v>438</v>
      </c>
      <c r="G99" s="176"/>
      <c r="H99" s="176"/>
      <c r="I99" s="190">
        <f t="shared" si="8"/>
        <v>0</v>
      </c>
      <c r="J99" s="190">
        <f t="shared" si="8"/>
        <v>0</v>
      </c>
      <c r="K99" s="190">
        <f t="shared" si="8"/>
        <v>0</v>
      </c>
    </row>
    <row r="100" spans="1:11" ht="39" customHeight="1" hidden="1">
      <c r="A100" s="189" t="s">
        <v>158</v>
      </c>
      <c r="B100" s="182">
        <v>250</v>
      </c>
      <c r="C100" s="191" t="s">
        <v>176</v>
      </c>
      <c r="D100" s="191" t="s">
        <v>187</v>
      </c>
      <c r="E100" s="191" t="s">
        <v>188</v>
      </c>
      <c r="F100" s="183" t="str">
        <f>F99</f>
        <v>79 5 02 90140</v>
      </c>
      <c r="G100" s="176">
        <v>200</v>
      </c>
      <c r="H100" s="176"/>
      <c r="I100" s="190">
        <f t="shared" si="8"/>
        <v>0</v>
      </c>
      <c r="J100" s="190">
        <f t="shared" si="8"/>
        <v>0</v>
      </c>
      <c r="K100" s="190">
        <f t="shared" si="8"/>
        <v>0</v>
      </c>
    </row>
    <row r="101" spans="1:11" ht="39" customHeight="1" hidden="1">
      <c r="A101" s="189" t="s">
        <v>248</v>
      </c>
      <c r="B101" s="182">
        <v>250</v>
      </c>
      <c r="C101" s="191" t="s">
        <v>176</v>
      </c>
      <c r="D101" s="191" t="s">
        <v>187</v>
      </c>
      <c r="E101" s="191" t="s">
        <v>188</v>
      </c>
      <c r="F101" s="183" t="str">
        <f>F100</f>
        <v>79 5 02 90140</v>
      </c>
      <c r="G101" s="176">
        <v>240</v>
      </c>
      <c r="H101" s="176"/>
      <c r="I101" s="190">
        <f t="shared" si="8"/>
        <v>0</v>
      </c>
      <c r="J101" s="190">
        <f t="shared" si="8"/>
        <v>0</v>
      </c>
      <c r="K101" s="190">
        <f t="shared" si="8"/>
        <v>0</v>
      </c>
    </row>
    <row r="102" spans="1:11" ht="39" customHeight="1" hidden="1">
      <c r="A102" s="189" t="s">
        <v>160</v>
      </c>
      <c r="B102" s="182">
        <v>250</v>
      </c>
      <c r="C102" s="191" t="s">
        <v>176</v>
      </c>
      <c r="D102" s="191" t="s">
        <v>187</v>
      </c>
      <c r="E102" s="191" t="s">
        <v>188</v>
      </c>
      <c r="F102" s="183" t="str">
        <f>F101</f>
        <v>79 5 02 90140</v>
      </c>
      <c r="G102" s="176">
        <v>244</v>
      </c>
      <c r="H102" s="176"/>
      <c r="I102" s="190">
        <v>0</v>
      </c>
      <c r="J102" s="190">
        <f>J103+J104</f>
        <v>0</v>
      </c>
      <c r="K102" s="190">
        <f>K103+K104</f>
        <v>0</v>
      </c>
    </row>
    <row r="103" spans="1:11" ht="21.75" customHeight="1" hidden="1">
      <c r="A103" s="193" t="s">
        <v>161</v>
      </c>
      <c r="B103" s="194">
        <v>250</v>
      </c>
      <c r="C103" s="228" t="s">
        <v>176</v>
      </c>
      <c r="D103" s="228" t="s">
        <v>187</v>
      </c>
      <c r="E103" s="228" t="s">
        <v>188</v>
      </c>
      <c r="F103" s="236" t="s">
        <v>316</v>
      </c>
      <c r="G103" s="195">
        <v>226</v>
      </c>
      <c r="H103" s="176"/>
      <c r="I103" s="190"/>
      <c r="J103" s="204"/>
      <c r="K103" s="244"/>
    </row>
    <row r="104" spans="1:12" ht="29.25" customHeight="1" hidden="1">
      <c r="A104" s="193" t="s">
        <v>22</v>
      </c>
      <c r="B104" s="194">
        <v>250</v>
      </c>
      <c r="C104" s="228" t="s">
        <v>176</v>
      </c>
      <c r="D104" s="228" t="s">
        <v>187</v>
      </c>
      <c r="E104" s="228" t="s">
        <v>188</v>
      </c>
      <c r="F104" s="236" t="s">
        <v>316</v>
      </c>
      <c r="G104" s="195">
        <v>340</v>
      </c>
      <c r="H104" s="176"/>
      <c r="I104" s="190">
        <v>0</v>
      </c>
      <c r="J104" s="204"/>
      <c r="K104" s="244"/>
      <c r="L104" s="93"/>
    </row>
    <row r="105" spans="1:13" ht="18" customHeight="1">
      <c r="A105" s="219" t="s">
        <v>238</v>
      </c>
      <c r="B105" s="186">
        <v>250</v>
      </c>
      <c r="C105" s="220" t="s">
        <v>169</v>
      </c>
      <c r="D105" s="220" t="s">
        <v>123</v>
      </c>
      <c r="E105" s="220" t="s">
        <v>124</v>
      </c>
      <c r="F105" s="186"/>
      <c r="G105" s="220"/>
      <c r="H105" s="220" t="s">
        <v>125</v>
      </c>
      <c r="I105" s="198">
        <f>I106+I118+I136</f>
        <v>3594530.19</v>
      </c>
      <c r="J105" s="188">
        <f>J106+J118+J136</f>
        <v>3279910</v>
      </c>
      <c r="K105" s="188">
        <f>K106+K118+K136</f>
        <v>2426250</v>
      </c>
      <c r="M105" s="40"/>
    </row>
    <row r="106" spans="1:13" ht="18" customHeight="1">
      <c r="A106" s="219" t="s">
        <v>168</v>
      </c>
      <c r="B106" s="183">
        <v>250</v>
      </c>
      <c r="C106" s="229" t="s">
        <v>169</v>
      </c>
      <c r="D106" s="229" t="s">
        <v>126</v>
      </c>
      <c r="E106" s="229" t="s">
        <v>124</v>
      </c>
      <c r="F106" s="183"/>
      <c r="G106" s="229"/>
      <c r="H106" s="229" t="s">
        <v>125</v>
      </c>
      <c r="I106" s="200">
        <f>I108</f>
        <v>49900</v>
      </c>
      <c r="J106" s="200">
        <f>J108</f>
        <v>47300</v>
      </c>
      <c r="K106" s="200">
        <f>K108</f>
        <v>47300</v>
      </c>
      <c r="M106" s="40"/>
    </row>
    <row r="107" spans="1:13" ht="44.25" customHeight="1">
      <c r="A107" s="219" t="s">
        <v>420</v>
      </c>
      <c r="B107" s="183">
        <v>250</v>
      </c>
      <c r="C107" s="229" t="s">
        <v>169</v>
      </c>
      <c r="D107" s="229" t="s">
        <v>126</v>
      </c>
      <c r="E107" s="229"/>
      <c r="F107" s="183" t="s">
        <v>419</v>
      </c>
      <c r="G107" s="229"/>
      <c r="H107" s="229"/>
      <c r="I107" s="188">
        <f>I108</f>
        <v>49900</v>
      </c>
      <c r="J107" s="200">
        <f>J108</f>
        <v>47300</v>
      </c>
      <c r="K107" s="200">
        <f>K108</f>
        <v>47300</v>
      </c>
      <c r="M107" s="40"/>
    </row>
    <row r="108" spans="1:11" ht="58.5" customHeight="1">
      <c r="A108" s="177" t="s">
        <v>505</v>
      </c>
      <c r="B108" s="182">
        <v>250</v>
      </c>
      <c r="C108" s="192" t="s">
        <v>169</v>
      </c>
      <c r="D108" s="192" t="s">
        <v>126</v>
      </c>
      <c r="E108" s="192" t="s">
        <v>124</v>
      </c>
      <c r="F108" s="182" t="s">
        <v>411</v>
      </c>
      <c r="G108" s="192"/>
      <c r="H108" s="192" t="s">
        <v>125</v>
      </c>
      <c r="I108" s="188">
        <f>I109+I114</f>
        <v>49900</v>
      </c>
      <c r="J108" s="188">
        <f>J109+J114</f>
        <v>47300</v>
      </c>
      <c r="K108" s="188">
        <f>K109+K114</f>
        <v>47300</v>
      </c>
    </row>
    <row r="109" spans="1:11" ht="119.25" customHeight="1">
      <c r="A109" s="189" t="s">
        <v>246</v>
      </c>
      <c r="B109" s="182">
        <v>250</v>
      </c>
      <c r="C109" s="191" t="s">
        <v>169</v>
      </c>
      <c r="D109" s="191" t="s">
        <v>126</v>
      </c>
      <c r="E109" s="191" t="s">
        <v>124</v>
      </c>
      <c r="F109" s="176" t="s">
        <v>411</v>
      </c>
      <c r="G109" s="192"/>
      <c r="H109" s="192"/>
      <c r="I109" s="200">
        <f aca="true" t="shared" si="9" ref="I109:K110">I110</f>
        <v>48174</v>
      </c>
      <c r="J109" s="200">
        <f t="shared" si="9"/>
        <v>45570</v>
      </c>
      <c r="K109" s="200">
        <f t="shared" si="9"/>
        <v>45570</v>
      </c>
    </row>
    <row r="110" spans="1:11" ht="45" customHeight="1">
      <c r="A110" s="189" t="s">
        <v>247</v>
      </c>
      <c r="B110" s="182">
        <v>250</v>
      </c>
      <c r="C110" s="191" t="s">
        <v>169</v>
      </c>
      <c r="D110" s="191" t="s">
        <v>126</v>
      </c>
      <c r="E110" s="232" t="s">
        <v>178</v>
      </c>
      <c r="F110" s="176" t="s">
        <v>411</v>
      </c>
      <c r="G110" s="182">
        <v>100</v>
      </c>
      <c r="H110" s="192" t="s">
        <v>125</v>
      </c>
      <c r="I110" s="200">
        <f t="shared" si="9"/>
        <v>48174</v>
      </c>
      <c r="J110" s="200">
        <f t="shared" si="9"/>
        <v>45570</v>
      </c>
      <c r="K110" s="200">
        <f t="shared" si="9"/>
        <v>45570</v>
      </c>
    </row>
    <row r="111" spans="1:11" ht="36" customHeight="1">
      <c r="A111" s="189" t="s">
        <v>165</v>
      </c>
      <c r="B111" s="182">
        <v>250</v>
      </c>
      <c r="C111" s="191" t="s">
        <v>169</v>
      </c>
      <c r="D111" s="191" t="s">
        <v>126</v>
      </c>
      <c r="E111" s="232" t="s">
        <v>178</v>
      </c>
      <c r="F111" s="176" t="s">
        <v>411</v>
      </c>
      <c r="G111" s="176">
        <v>120</v>
      </c>
      <c r="H111" s="176">
        <v>210</v>
      </c>
      <c r="I111" s="200">
        <f>I112+I113</f>
        <v>48174</v>
      </c>
      <c r="J111" s="200">
        <f>J112+J113</f>
        <v>45570</v>
      </c>
      <c r="K111" s="200">
        <f>K112+K113</f>
        <v>45570</v>
      </c>
    </row>
    <row r="112" spans="1:11" ht="10.5" customHeight="1" hidden="1">
      <c r="A112" s="193" t="s">
        <v>10</v>
      </c>
      <c r="B112" s="194">
        <v>250</v>
      </c>
      <c r="C112" s="228" t="s">
        <v>169</v>
      </c>
      <c r="D112" s="228" t="s">
        <v>126</v>
      </c>
      <c r="E112" s="195" t="s">
        <v>178</v>
      </c>
      <c r="F112" s="195" t="s">
        <v>260</v>
      </c>
      <c r="G112" s="195">
        <v>121</v>
      </c>
      <c r="H112" s="176">
        <v>211</v>
      </c>
      <c r="I112" s="200">
        <f>35000+2000</f>
        <v>37000</v>
      </c>
      <c r="J112" s="204">
        <f>35000</f>
        <v>35000</v>
      </c>
      <c r="K112" s="204">
        <v>35000</v>
      </c>
    </row>
    <row r="113" spans="1:11" ht="11.25" customHeight="1" hidden="1">
      <c r="A113" s="193" t="s">
        <v>12</v>
      </c>
      <c r="B113" s="194">
        <v>250</v>
      </c>
      <c r="C113" s="228" t="s">
        <v>169</v>
      </c>
      <c r="D113" s="228" t="s">
        <v>126</v>
      </c>
      <c r="E113" s="195" t="s">
        <v>178</v>
      </c>
      <c r="F113" s="195" t="s">
        <v>260</v>
      </c>
      <c r="G113" s="195">
        <v>129</v>
      </c>
      <c r="H113" s="176">
        <v>213</v>
      </c>
      <c r="I113" s="200">
        <f>10570+604</f>
        <v>11174</v>
      </c>
      <c r="J113" s="204">
        <v>10570</v>
      </c>
      <c r="K113" s="204">
        <v>10570</v>
      </c>
    </row>
    <row r="114" spans="1:11" ht="42" customHeight="1">
      <c r="A114" s="189" t="s">
        <v>153</v>
      </c>
      <c r="B114" s="182">
        <v>250</v>
      </c>
      <c r="C114" s="191" t="s">
        <v>169</v>
      </c>
      <c r="D114" s="191" t="s">
        <v>126</v>
      </c>
      <c r="E114" s="232" t="s">
        <v>178</v>
      </c>
      <c r="F114" s="176" t="s">
        <v>411</v>
      </c>
      <c r="G114" s="182">
        <v>200</v>
      </c>
      <c r="H114" s="176"/>
      <c r="I114" s="200">
        <f aca="true" t="shared" si="10" ref="I114:K115">I115</f>
        <v>1726</v>
      </c>
      <c r="J114" s="200">
        <f t="shared" si="10"/>
        <v>1730</v>
      </c>
      <c r="K114" s="200">
        <f t="shared" si="10"/>
        <v>1730</v>
      </c>
    </row>
    <row r="115" spans="1:11" ht="33.75" customHeight="1">
      <c r="A115" s="189" t="s">
        <v>248</v>
      </c>
      <c r="B115" s="182">
        <v>250</v>
      </c>
      <c r="C115" s="191" t="s">
        <v>169</v>
      </c>
      <c r="D115" s="191" t="s">
        <v>126</v>
      </c>
      <c r="E115" s="232" t="s">
        <v>178</v>
      </c>
      <c r="F115" s="176" t="s">
        <v>411</v>
      </c>
      <c r="G115" s="176">
        <v>240</v>
      </c>
      <c r="H115" s="176"/>
      <c r="I115" s="200">
        <f t="shared" si="10"/>
        <v>1726</v>
      </c>
      <c r="J115" s="200">
        <f t="shared" si="10"/>
        <v>1730</v>
      </c>
      <c r="K115" s="200">
        <f t="shared" si="10"/>
        <v>1730</v>
      </c>
    </row>
    <row r="116" spans="1:11" ht="30" customHeight="1">
      <c r="A116" s="189" t="s">
        <v>491</v>
      </c>
      <c r="B116" s="182">
        <v>250</v>
      </c>
      <c r="C116" s="191" t="s">
        <v>169</v>
      </c>
      <c r="D116" s="191" t="s">
        <v>126</v>
      </c>
      <c r="E116" s="232" t="s">
        <v>178</v>
      </c>
      <c r="F116" s="176" t="s">
        <v>411</v>
      </c>
      <c r="G116" s="191" t="s">
        <v>179</v>
      </c>
      <c r="H116" s="191" t="s">
        <v>125</v>
      </c>
      <c r="I116" s="200">
        <f>I117</f>
        <v>1726</v>
      </c>
      <c r="J116" s="200">
        <f>J117</f>
        <v>1730</v>
      </c>
      <c r="K116" s="200">
        <f>K117</f>
        <v>1730</v>
      </c>
    </row>
    <row r="117" spans="1:11" ht="25.5" customHeight="1" hidden="1">
      <c r="A117" s="193" t="s">
        <v>22</v>
      </c>
      <c r="B117" s="194">
        <v>250</v>
      </c>
      <c r="C117" s="228" t="s">
        <v>169</v>
      </c>
      <c r="D117" s="228" t="s">
        <v>126</v>
      </c>
      <c r="E117" s="195" t="s">
        <v>178</v>
      </c>
      <c r="F117" s="194"/>
      <c r="G117" s="228" t="s">
        <v>159</v>
      </c>
      <c r="H117" s="191" t="s">
        <v>159</v>
      </c>
      <c r="I117" s="200">
        <v>1726</v>
      </c>
      <c r="J117" s="204">
        <v>1730</v>
      </c>
      <c r="K117" s="204">
        <v>1730</v>
      </c>
    </row>
    <row r="118" spans="1:11" ht="25.5" customHeight="1">
      <c r="A118" s="245" t="s">
        <v>236</v>
      </c>
      <c r="B118" s="182">
        <v>250</v>
      </c>
      <c r="C118" s="192" t="s">
        <v>169</v>
      </c>
      <c r="D118" s="192" t="s">
        <v>177</v>
      </c>
      <c r="E118" s="182" t="s">
        <v>124</v>
      </c>
      <c r="F118" s="182"/>
      <c r="G118" s="192"/>
      <c r="H118" s="192" t="s">
        <v>125</v>
      </c>
      <c r="I118" s="188">
        <f>I119</f>
        <v>2119950.19</v>
      </c>
      <c r="J118" s="188">
        <f>J119</f>
        <v>3177610</v>
      </c>
      <c r="K118" s="188">
        <f>K119</f>
        <v>2378950</v>
      </c>
    </row>
    <row r="119" spans="1:13" ht="46.5" customHeight="1">
      <c r="A119" s="210" t="s">
        <v>431</v>
      </c>
      <c r="B119" s="182">
        <v>250</v>
      </c>
      <c r="C119" s="191" t="s">
        <v>169</v>
      </c>
      <c r="D119" s="191" t="s">
        <v>177</v>
      </c>
      <c r="E119" s="176" t="s">
        <v>124</v>
      </c>
      <c r="F119" s="176" t="s">
        <v>439</v>
      </c>
      <c r="G119" s="191"/>
      <c r="H119" s="191" t="s">
        <v>125</v>
      </c>
      <c r="I119" s="190">
        <f>I121</f>
        <v>2119950.19</v>
      </c>
      <c r="J119" s="190">
        <f>J121</f>
        <v>3177610</v>
      </c>
      <c r="K119" s="190">
        <f>K121</f>
        <v>2378950</v>
      </c>
      <c r="M119" s="120"/>
    </row>
    <row r="120" spans="1:11" ht="15.75">
      <c r="A120" s="210" t="s">
        <v>311</v>
      </c>
      <c r="B120" s="182">
        <v>250</v>
      </c>
      <c r="C120" s="191" t="s">
        <v>169</v>
      </c>
      <c r="D120" s="191" t="s">
        <v>177</v>
      </c>
      <c r="E120" s="176"/>
      <c r="F120" s="176" t="s">
        <v>421</v>
      </c>
      <c r="G120" s="191"/>
      <c r="H120" s="191"/>
      <c r="I120" s="190">
        <f>I121</f>
        <v>2119950.19</v>
      </c>
      <c r="J120" s="190">
        <f>J121</f>
        <v>3177610</v>
      </c>
      <c r="K120" s="190">
        <f>K121</f>
        <v>2378950</v>
      </c>
    </row>
    <row r="121" spans="1:11" ht="30">
      <c r="A121" s="210" t="s">
        <v>422</v>
      </c>
      <c r="B121" s="182">
        <v>250</v>
      </c>
      <c r="C121" s="191" t="s">
        <v>169</v>
      </c>
      <c r="D121" s="191" t="s">
        <v>177</v>
      </c>
      <c r="E121" s="176" t="s">
        <v>124</v>
      </c>
      <c r="F121" s="176" t="s">
        <v>440</v>
      </c>
      <c r="G121" s="191"/>
      <c r="H121" s="191" t="s">
        <v>125</v>
      </c>
      <c r="I121" s="190">
        <f>SUM(I122)</f>
        <v>2119950.19</v>
      </c>
      <c r="J121" s="190">
        <f>SUM(J122)</f>
        <v>3177610</v>
      </c>
      <c r="K121" s="190">
        <f>SUM(K122)</f>
        <v>2378950</v>
      </c>
    </row>
    <row r="122" spans="1:11" ht="30">
      <c r="A122" s="189" t="s">
        <v>153</v>
      </c>
      <c r="B122" s="182">
        <v>250</v>
      </c>
      <c r="C122" s="191" t="s">
        <v>169</v>
      </c>
      <c r="D122" s="191" t="s">
        <v>177</v>
      </c>
      <c r="E122" s="176" t="s">
        <v>124</v>
      </c>
      <c r="F122" s="176" t="str">
        <f>F123</f>
        <v>91 4 01 90150</v>
      </c>
      <c r="G122" s="191" t="s">
        <v>127</v>
      </c>
      <c r="H122" s="191"/>
      <c r="I122" s="190">
        <f>I123</f>
        <v>2119950.19</v>
      </c>
      <c r="J122" s="190">
        <f>J123</f>
        <v>3177610</v>
      </c>
      <c r="K122" s="190">
        <f>K123</f>
        <v>2378950</v>
      </c>
    </row>
    <row r="123" spans="1:11" ht="28.5" customHeight="1">
      <c r="A123" s="189" t="s">
        <v>248</v>
      </c>
      <c r="B123" s="182">
        <v>250</v>
      </c>
      <c r="C123" s="191" t="s">
        <v>169</v>
      </c>
      <c r="D123" s="191" t="s">
        <v>177</v>
      </c>
      <c r="E123" s="176" t="s">
        <v>124</v>
      </c>
      <c r="F123" s="176" t="str">
        <f>F131</f>
        <v>91 4 01 90150</v>
      </c>
      <c r="G123" s="191" t="s">
        <v>249</v>
      </c>
      <c r="H123" s="191"/>
      <c r="I123" s="190">
        <f>I124+I131</f>
        <v>2119950.19</v>
      </c>
      <c r="J123" s="190">
        <f>J124+J131</f>
        <v>3177610</v>
      </c>
      <c r="K123" s="190">
        <f>K124+K131</f>
        <v>2378950</v>
      </c>
    </row>
    <row r="124" spans="1:11" ht="42.75" customHeight="1">
      <c r="A124" s="178" t="s">
        <v>540</v>
      </c>
      <c r="B124" s="182">
        <v>250</v>
      </c>
      <c r="C124" s="191" t="s">
        <v>169</v>
      </c>
      <c r="D124" s="191" t="s">
        <v>177</v>
      </c>
      <c r="E124" s="176" t="s">
        <v>124</v>
      </c>
      <c r="F124" s="176" t="str">
        <f>F132</f>
        <v>91 3 14 90150</v>
      </c>
      <c r="G124" s="191" t="s">
        <v>539</v>
      </c>
      <c r="H124" s="191"/>
      <c r="I124" s="190">
        <f>SUM(I125:I130)</f>
        <v>0</v>
      </c>
      <c r="J124" s="190">
        <f>SUM(J125:J130)</f>
        <v>3177610</v>
      </c>
      <c r="K124" s="190">
        <f>SUM(K125:K130)</f>
        <v>0</v>
      </c>
    </row>
    <row r="125" spans="1:11" ht="28.5" customHeight="1" hidden="1">
      <c r="A125" s="179" t="s">
        <v>15</v>
      </c>
      <c r="B125" s="182"/>
      <c r="C125" s="191"/>
      <c r="D125" s="191"/>
      <c r="E125" s="176"/>
      <c r="F125" s="176"/>
      <c r="G125" s="191" t="s">
        <v>495</v>
      </c>
      <c r="H125" s="191"/>
      <c r="I125" s="190"/>
      <c r="J125" s="190"/>
      <c r="K125" s="190"/>
    </row>
    <row r="126" spans="1:11" ht="28.5" customHeight="1" hidden="1">
      <c r="A126" s="179" t="s">
        <v>541</v>
      </c>
      <c r="B126" s="182"/>
      <c r="C126" s="191"/>
      <c r="D126" s="191"/>
      <c r="E126" s="176"/>
      <c r="F126" s="176"/>
      <c r="G126" s="191" t="s">
        <v>157</v>
      </c>
      <c r="H126" s="191"/>
      <c r="I126" s="190"/>
      <c r="J126" s="190">
        <v>2202610</v>
      </c>
      <c r="K126" s="190"/>
    </row>
    <row r="127" spans="1:11" ht="28.5" customHeight="1" hidden="1">
      <c r="A127" s="179" t="s">
        <v>542</v>
      </c>
      <c r="B127" s="182"/>
      <c r="C127" s="191"/>
      <c r="D127" s="191"/>
      <c r="E127" s="176"/>
      <c r="F127" s="176"/>
      <c r="G127" s="191" t="s">
        <v>501</v>
      </c>
      <c r="H127" s="191"/>
      <c r="I127" s="190"/>
      <c r="J127" s="190"/>
      <c r="K127" s="190"/>
    </row>
    <row r="128" spans="1:11" ht="28.5" customHeight="1" hidden="1">
      <c r="A128" s="179"/>
      <c r="B128" s="182"/>
      <c r="C128" s="191"/>
      <c r="D128" s="191"/>
      <c r="E128" s="176"/>
      <c r="F128" s="176"/>
      <c r="G128" s="191" t="s">
        <v>502</v>
      </c>
      <c r="H128" s="191"/>
      <c r="I128" s="190"/>
      <c r="J128" s="190"/>
      <c r="K128" s="190"/>
    </row>
    <row r="129" spans="1:11" ht="28.5" customHeight="1" hidden="1">
      <c r="A129" s="179"/>
      <c r="B129" s="182"/>
      <c r="C129" s="191"/>
      <c r="D129" s="191"/>
      <c r="E129" s="176"/>
      <c r="F129" s="176"/>
      <c r="G129" s="191" t="s">
        <v>503</v>
      </c>
      <c r="H129" s="191"/>
      <c r="I129" s="190"/>
      <c r="J129" s="190">
        <v>975000</v>
      </c>
      <c r="K129" s="190"/>
    </row>
    <row r="130" spans="1:11" ht="28.5" customHeight="1" hidden="1">
      <c r="A130" s="179"/>
      <c r="B130" s="182"/>
      <c r="C130" s="191"/>
      <c r="D130" s="191"/>
      <c r="E130" s="176"/>
      <c r="F130" s="176"/>
      <c r="G130" s="191"/>
      <c r="H130" s="191"/>
      <c r="I130" s="190"/>
      <c r="J130" s="190"/>
      <c r="K130" s="190"/>
    </row>
    <row r="131" spans="1:11" ht="30" customHeight="1">
      <c r="A131" s="189" t="s">
        <v>491</v>
      </c>
      <c r="B131" s="182">
        <v>250</v>
      </c>
      <c r="C131" s="191" t="s">
        <v>169</v>
      </c>
      <c r="D131" s="191" t="s">
        <v>177</v>
      </c>
      <c r="E131" s="176" t="s">
        <v>124</v>
      </c>
      <c r="F131" s="176" t="str">
        <f>F121</f>
        <v>91 4 01 90150</v>
      </c>
      <c r="G131" s="191" t="s">
        <v>179</v>
      </c>
      <c r="H131" s="191" t="s">
        <v>125</v>
      </c>
      <c r="I131" s="190">
        <f>I132+I135+I134+I133</f>
        <v>2119950.19</v>
      </c>
      <c r="J131" s="190">
        <f>J132+J133+J134+J135</f>
        <v>0</v>
      </c>
      <c r="K131" s="190">
        <f>K132+K135+K134+K133</f>
        <v>2378950</v>
      </c>
    </row>
    <row r="132" spans="1:11" ht="30" hidden="1">
      <c r="A132" s="193" t="s">
        <v>17</v>
      </c>
      <c r="B132" s="194">
        <v>250</v>
      </c>
      <c r="C132" s="228" t="s">
        <v>169</v>
      </c>
      <c r="D132" s="228" t="s">
        <v>177</v>
      </c>
      <c r="E132" s="246" t="s">
        <v>186</v>
      </c>
      <c r="F132" s="195" t="s">
        <v>261</v>
      </c>
      <c r="G132" s="195">
        <v>225</v>
      </c>
      <c r="H132" s="176"/>
      <c r="I132" s="190">
        <v>0</v>
      </c>
      <c r="J132" s="190">
        <v>0</v>
      </c>
      <c r="K132" s="190">
        <v>0</v>
      </c>
    </row>
    <row r="133" spans="1:11" ht="15.75" hidden="1">
      <c r="A133" s="193" t="s">
        <v>161</v>
      </c>
      <c r="B133" s="194">
        <v>250</v>
      </c>
      <c r="C133" s="228" t="s">
        <v>169</v>
      </c>
      <c r="D133" s="228" t="s">
        <v>177</v>
      </c>
      <c r="E133" s="246" t="s">
        <v>186</v>
      </c>
      <c r="F133" s="195" t="s">
        <v>261</v>
      </c>
      <c r="G133" s="195">
        <v>226</v>
      </c>
      <c r="H133" s="176"/>
      <c r="I133" s="190">
        <f>1719950.19</f>
        <v>1719950.19</v>
      </c>
      <c r="J133" s="204">
        <v>0</v>
      </c>
      <c r="K133" s="204">
        <v>2378950</v>
      </c>
    </row>
    <row r="134" spans="1:11" ht="30" hidden="1">
      <c r="A134" s="193" t="s">
        <v>21</v>
      </c>
      <c r="B134" s="194">
        <v>250</v>
      </c>
      <c r="C134" s="228" t="s">
        <v>169</v>
      </c>
      <c r="D134" s="228" t="s">
        <v>177</v>
      </c>
      <c r="E134" s="246" t="s">
        <v>186</v>
      </c>
      <c r="F134" s="195" t="s">
        <v>261</v>
      </c>
      <c r="G134" s="195">
        <v>310</v>
      </c>
      <c r="H134" s="176"/>
      <c r="I134" s="190">
        <f>500000-500000</f>
        <v>0</v>
      </c>
      <c r="J134" s="204"/>
      <c r="K134" s="204"/>
    </row>
    <row r="135" spans="1:11" ht="30" hidden="1">
      <c r="A135" s="193" t="s">
        <v>22</v>
      </c>
      <c r="B135" s="194">
        <v>250</v>
      </c>
      <c r="C135" s="228" t="s">
        <v>169</v>
      </c>
      <c r="D135" s="228" t="s">
        <v>177</v>
      </c>
      <c r="E135" s="246" t="s">
        <v>186</v>
      </c>
      <c r="F135" s="195" t="s">
        <v>261</v>
      </c>
      <c r="G135" s="195">
        <v>340</v>
      </c>
      <c r="H135" s="176"/>
      <c r="I135" s="190">
        <f>400000</f>
        <v>400000</v>
      </c>
      <c r="J135" s="204"/>
      <c r="K135" s="204"/>
    </row>
    <row r="136" spans="1:12" ht="36" customHeight="1">
      <c r="A136" s="181" t="s">
        <v>299</v>
      </c>
      <c r="B136" s="182">
        <v>250</v>
      </c>
      <c r="C136" s="247" t="s">
        <v>169</v>
      </c>
      <c r="D136" s="247" t="s">
        <v>301</v>
      </c>
      <c r="E136" s="247" t="s">
        <v>124</v>
      </c>
      <c r="F136" s="182"/>
      <c r="G136" s="247"/>
      <c r="H136" s="247" t="s">
        <v>125</v>
      </c>
      <c r="I136" s="188">
        <f>I137</f>
        <v>1424680</v>
      </c>
      <c r="J136" s="188">
        <f>J138</f>
        <v>55000</v>
      </c>
      <c r="K136" s="188">
        <f>K138</f>
        <v>0</v>
      </c>
      <c r="L136" s="98"/>
    </row>
    <row r="137" spans="1:11" ht="48" customHeight="1">
      <c r="A137" s="181" t="s">
        <v>432</v>
      </c>
      <c r="B137" s="182">
        <v>250</v>
      </c>
      <c r="C137" s="247" t="s">
        <v>169</v>
      </c>
      <c r="D137" s="247" t="s">
        <v>301</v>
      </c>
      <c r="E137" s="247"/>
      <c r="F137" s="182" t="s">
        <v>423</v>
      </c>
      <c r="G137" s="247"/>
      <c r="H137" s="247"/>
      <c r="I137" s="248">
        <f>SUM(I138,I145,I153)</f>
        <v>1424680</v>
      </c>
      <c r="J137" s="188">
        <f>J138</f>
        <v>55000</v>
      </c>
      <c r="K137" s="188">
        <f>K138</f>
        <v>0</v>
      </c>
    </row>
    <row r="138" spans="1:11" ht="44.25" customHeight="1">
      <c r="A138" s="219" t="s">
        <v>300</v>
      </c>
      <c r="B138" s="176">
        <v>250</v>
      </c>
      <c r="C138" s="249" t="s">
        <v>169</v>
      </c>
      <c r="D138" s="249" t="s">
        <v>301</v>
      </c>
      <c r="E138" s="249" t="s">
        <v>124</v>
      </c>
      <c r="F138" s="176" t="s">
        <v>441</v>
      </c>
      <c r="G138" s="249" t="s">
        <v>125</v>
      </c>
      <c r="H138" s="249" t="s">
        <v>125</v>
      </c>
      <c r="I138" s="190">
        <f>I140</f>
        <v>250000</v>
      </c>
      <c r="J138" s="190">
        <f>J140</f>
        <v>55000</v>
      </c>
      <c r="K138" s="190">
        <f>K140</f>
        <v>0</v>
      </c>
    </row>
    <row r="139" spans="1:11" ht="63" hidden="1">
      <c r="A139" s="219" t="s">
        <v>332</v>
      </c>
      <c r="B139" s="176">
        <v>250</v>
      </c>
      <c r="C139" s="249" t="s">
        <v>169</v>
      </c>
      <c r="D139" s="249" t="s">
        <v>301</v>
      </c>
      <c r="E139" s="249" t="s">
        <v>124</v>
      </c>
      <c r="F139" s="176" t="s">
        <v>302</v>
      </c>
      <c r="G139" s="249" t="s">
        <v>125</v>
      </c>
      <c r="H139" s="249"/>
      <c r="I139" s="190">
        <f>I140</f>
        <v>250000</v>
      </c>
      <c r="J139" s="190">
        <f>J140</f>
        <v>55000</v>
      </c>
      <c r="K139" s="190">
        <f>K140</f>
        <v>0</v>
      </c>
    </row>
    <row r="140" spans="1:11" ht="30">
      <c r="A140" s="189" t="s">
        <v>153</v>
      </c>
      <c r="B140" s="176">
        <v>250</v>
      </c>
      <c r="C140" s="249" t="s">
        <v>169</v>
      </c>
      <c r="D140" s="249" t="s">
        <v>301</v>
      </c>
      <c r="E140" s="249" t="s">
        <v>124</v>
      </c>
      <c r="F140" s="176" t="str">
        <f>F138</f>
        <v>91 4 02 90160</v>
      </c>
      <c r="G140" s="247" t="s">
        <v>127</v>
      </c>
      <c r="H140" s="249"/>
      <c r="I140" s="190">
        <f aca="true" t="shared" si="11" ref="I140:K142">I141</f>
        <v>250000</v>
      </c>
      <c r="J140" s="190">
        <f t="shared" si="11"/>
        <v>55000</v>
      </c>
      <c r="K140" s="190">
        <f t="shared" si="11"/>
        <v>0</v>
      </c>
    </row>
    <row r="141" spans="1:11" ht="30">
      <c r="A141" s="189" t="s">
        <v>248</v>
      </c>
      <c r="B141" s="176">
        <v>250</v>
      </c>
      <c r="C141" s="249" t="s">
        <v>169</v>
      </c>
      <c r="D141" s="249" t="s">
        <v>301</v>
      </c>
      <c r="E141" s="249" t="s">
        <v>124</v>
      </c>
      <c r="F141" s="176" t="str">
        <f>F140</f>
        <v>91 4 02 90160</v>
      </c>
      <c r="G141" s="249" t="s">
        <v>249</v>
      </c>
      <c r="H141" s="249"/>
      <c r="I141" s="190">
        <f t="shared" si="11"/>
        <v>250000</v>
      </c>
      <c r="J141" s="190">
        <f t="shared" si="11"/>
        <v>55000</v>
      </c>
      <c r="K141" s="190">
        <f t="shared" si="11"/>
        <v>0</v>
      </c>
    </row>
    <row r="142" spans="1:11" ht="36" customHeight="1">
      <c r="A142" s="189" t="s">
        <v>491</v>
      </c>
      <c r="B142" s="182">
        <v>250</v>
      </c>
      <c r="C142" s="249" t="s">
        <v>169</v>
      </c>
      <c r="D142" s="249" t="s">
        <v>301</v>
      </c>
      <c r="E142" s="249" t="s">
        <v>124</v>
      </c>
      <c r="F142" s="176" t="str">
        <f>F141</f>
        <v>91 4 02 90160</v>
      </c>
      <c r="G142" s="249" t="s">
        <v>179</v>
      </c>
      <c r="H142" s="249" t="s">
        <v>125</v>
      </c>
      <c r="I142" s="190">
        <f>I143</f>
        <v>250000</v>
      </c>
      <c r="J142" s="190">
        <f t="shared" si="11"/>
        <v>55000</v>
      </c>
      <c r="K142" s="190">
        <f t="shared" si="11"/>
        <v>0</v>
      </c>
    </row>
    <row r="143" spans="1:11" ht="15.75" hidden="1">
      <c r="A143" s="193" t="s">
        <v>161</v>
      </c>
      <c r="B143" s="194"/>
      <c r="C143" s="250"/>
      <c r="D143" s="250"/>
      <c r="E143" s="250"/>
      <c r="F143" s="195"/>
      <c r="G143" s="250" t="s">
        <v>157</v>
      </c>
      <c r="H143" s="249" t="s">
        <v>159</v>
      </c>
      <c r="I143" s="190">
        <f>50000+200000</f>
        <v>250000</v>
      </c>
      <c r="J143" s="204">
        <v>55000</v>
      </c>
      <c r="K143" s="204"/>
    </row>
    <row r="144" spans="1:11" ht="45.75" customHeight="1">
      <c r="A144" s="269" t="s">
        <v>553</v>
      </c>
      <c r="B144" s="194">
        <v>250</v>
      </c>
      <c r="C144" s="250" t="s">
        <v>169</v>
      </c>
      <c r="D144" s="250" t="s">
        <v>301</v>
      </c>
      <c r="E144" s="250"/>
      <c r="F144" s="176" t="s">
        <v>522</v>
      </c>
      <c r="G144" s="250"/>
      <c r="H144" s="249"/>
      <c r="I144" s="258">
        <f>SUM(I145,I153)</f>
        <v>1174680</v>
      </c>
      <c r="J144" s="196">
        <f>SUM(J145,J153)</f>
        <v>0</v>
      </c>
      <c r="K144" s="196">
        <f>SUM(K145,K153)</f>
        <v>0</v>
      </c>
    </row>
    <row r="145" spans="1:11" ht="44.25" customHeight="1">
      <c r="A145" s="219" t="s">
        <v>520</v>
      </c>
      <c r="B145" s="182">
        <v>250</v>
      </c>
      <c r="C145" s="249" t="s">
        <v>169</v>
      </c>
      <c r="D145" s="249" t="s">
        <v>301</v>
      </c>
      <c r="E145" s="249" t="s">
        <v>124</v>
      </c>
      <c r="F145" s="176" t="s">
        <v>522</v>
      </c>
      <c r="G145" s="249" t="s">
        <v>125</v>
      </c>
      <c r="H145" s="249"/>
      <c r="I145" s="251">
        <f aca="true" t="shared" si="12" ref="I145:K147">I146</f>
        <v>1139400</v>
      </c>
      <c r="J145" s="190">
        <f t="shared" si="12"/>
        <v>0</v>
      </c>
      <c r="K145" s="190">
        <f t="shared" si="12"/>
        <v>0</v>
      </c>
    </row>
    <row r="146" spans="1:11" ht="30">
      <c r="A146" s="189" t="s">
        <v>153</v>
      </c>
      <c r="B146" s="182">
        <v>250</v>
      </c>
      <c r="C146" s="249" t="s">
        <v>169</v>
      </c>
      <c r="D146" s="249" t="s">
        <v>301</v>
      </c>
      <c r="E146" s="249" t="s">
        <v>124</v>
      </c>
      <c r="F146" s="176" t="s">
        <v>522</v>
      </c>
      <c r="G146" s="249" t="s">
        <v>127</v>
      </c>
      <c r="H146" s="249"/>
      <c r="I146" s="190">
        <f t="shared" si="12"/>
        <v>1139400</v>
      </c>
      <c r="J146" s="190">
        <f t="shared" si="12"/>
        <v>0</v>
      </c>
      <c r="K146" s="190">
        <f t="shared" si="12"/>
        <v>0</v>
      </c>
    </row>
    <row r="147" spans="1:11" ht="30">
      <c r="A147" s="189" t="s">
        <v>248</v>
      </c>
      <c r="B147" s="182">
        <v>250</v>
      </c>
      <c r="C147" s="249" t="s">
        <v>169</v>
      </c>
      <c r="D147" s="249" t="s">
        <v>301</v>
      </c>
      <c r="E147" s="249" t="s">
        <v>124</v>
      </c>
      <c r="F147" s="176" t="s">
        <v>522</v>
      </c>
      <c r="G147" s="249" t="s">
        <v>249</v>
      </c>
      <c r="H147" s="249"/>
      <c r="I147" s="190">
        <f t="shared" si="12"/>
        <v>1139400</v>
      </c>
      <c r="J147" s="190">
        <f t="shared" si="12"/>
        <v>0</v>
      </c>
      <c r="K147" s="190">
        <f t="shared" si="12"/>
        <v>0</v>
      </c>
    </row>
    <row r="148" spans="1:11" ht="30">
      <c r="A148" s="189" t="s">
        <v>491</v>
      </c>
      <c r="B148" s="182">
        <v>250</v>
      </c>
      <c r="C148" s="249" t="s">
        <v>169</v>
      </c>
      <c r="D148" s="249" t="s">
        <v>301</v>
      </c>
      <c r="E148" s="249" t="s">
        <v>124</v>
      </c>
      <c r="F148" s="176" t="s">
        <v>522</v>
      </c>
      <c r="G148" s="249" t="s">
        <v>179</v>
      </c>
      <c r="H148" s="249"/>
      <c r="I148" s="190">
        <f>SUM(I149:I152)</f>
        <v>1139400</v>
      </c>
      <c r="J148" s="190">
        <v>0</v>
      </c>
      <c r="K148" s="190">
        <v>0</v>
      </c>
    </row>
    <row r="149" spans="1:11" ht="15.75" hidden="1">
      <c r="A149" s="252" t="s">
        <v>15</v>
      </c>
      <c r="B149" s="182"/>
      <c r="C149" s="249"/>
      <c r="D149" s="249"/>
      <c r="E149" s="249"/>
      <c r="F149" s="176"/>
      <c r="G149" s="249" t="s">
        <v>495</v>
      </c>
      <c r="H149" s="249"/>
      <c r="I149" s="190"/>
      <c r="J149" s="190"/>
      <c r="K149" s="190"/>
    </row>
    <row r="150" spans="1:11" ht="15.75" hidden="1">
      <c r="A150" s="193" t="s">
        <v>161</v>
      </c>
      <c r="B150" s="182"/>
      <c r="C150" s="249"/>
      <c r="D150" s="249"/>
      <c r="E150" s="249"/>
      <c r="F150" s="176"/>
      <c r="G150" s="249" t="s">
        <v>157</v>
      </c>
      <c r="H150" s="249"/>
      <c r="I150" s="190">
        <v>1139400</v>
      </c>
      <c r="J150" s="190"/>
      <c r="K150" s="190"/>
    </row>
    <row r="151" spans="1:11" ht="30" hidden="1">
      <c r="A151" s="193" t="s">
        <v>21</v>
      </c>
      <c r="B151" s="182"/>
      <c r="C151" s="249"/>
      <c r="D151" s="249"/>
      <c r="E151" s="249"/>
      <c r="F151" s="176"/>
      <c r="G151" s="249" t="s">
        <v>380</v>
      </c>
      <c r="H151" s="249"/>
      <c r="I151" s="190"/>
      <c r="J151" s="190"/>
      <c r="K151" s="190"/>
    </row>
    <row r="152" spans="1:11" ht="30" hidden="1">
      <c r="A152" s="193" t="s">
        <v>135</v>
      </c>
      <c r="B152" s="182"/>
      <c r="C152" s="249"/>
      <c r="D152" s="249"/>
      <c r="E152" s="249"/>
      <c r="F152" s="176"/>
      <c r="G152" s="249" t="s">
        <v>159</v>
      </c>
      <c r="H152" s="249"/>
      <c r="I152" s="190">
        <v>0</v>
      </c>
      <c r="J152" s="204">
        <v>0</v>
      </c>
      <c r="K152" s="204">
        <v>0</v>
      </c>
    </row>
    <row r="153" spans="1:14" ht="63">
      <c r="A153" s="219" t="s">
        <v>521</v>
      </c>
      <c r="B153" s="186">
        <v>250</v>
      </c>
      <c r="C153" s="253" t="s">
        <v>169</v>
      </c>
      <c r="D153" s="253" t="s">
        <v>301</v>
      </c>
      <c r="E153" s="253" t="s">
        <v>124</v>
      </c>
      <c r="F153" s="176" t="s">
        <v>522</v>
      </c>
      <c r="G153" s="220"/>
      <c r="H153" s="220"/>
      <c r="I153" s="203">
        <f>I154</f>
        <v>35280</v>
      </c>
      <c r="J153" s="188">
        <f>J156+J192</f>
        <v>0</v>
      </c>
      <c r="K153" s="188">
        <f>K156+K192</f>
        <v>0</v>
      </c>
      <c r="M153" s="40"/>
      <c r="N153" s="40"/>
    </row>
    <row r="154" spans="1:14" ht="30">
      <c r="A154" s="189" t="s">
        <v>153</v>
      </c>
      <c r="B154" s="186">
        <v>250</v>
      </c>
      <c r="C154" s="253" t="s">
        <v>169</v>
      </c>
      <c r="D154" s="253" t="s">
        <v>301</v>
      </c>
      <c r="E154" s="253"/>
      <c r="F154" s="176" t="s">
        <v>522</v>
      </c>
      <c r="G154" s="254" t="s">
        <v>127</v>
      </c>
      <c r="H154" s="220"/>
      <c r="I154" s="200">
        <f>I155</f>
        <v>35280</v>
      </c>
      <c r="J154" s="200">
        <f>J155</f>
        <v>0</v>
      </c>
      <c r="K154" s="200">
        <f>K155</f>
        <v>0</v>
      </c>
      <c r="M154" s="40"/>
      <c r="N154" s="40"/>
    </row>
    <row r="155" spans="1:14" ht="30">
      <c r="A155" s="189" t="s">
        <v>248</v>
      </c>
      <c r="B155" s="186">
        <v>250</v>
      </c>
      <c r="C155" s="253" t="s">
        <v>169</v>
      </c>
      <c r="D155" s="253" t="s">
        <v>301</v>
      </c>
      <c r="E155" s="253"/>
      <c r="F155" s="176" t="s">
        <v>522</v>
      </c>
      <c r="G155" s="255" t="s">
        <v>249</v>
      </c>
      <c r="H155" s="220"/>
      <c r="I155" s="200">
        <f>I156</f>
        <v>35280</v>
      </c>
      <c r="J155" s="200">
        <f>J156</f>
        <v>0</v>
      </c>
      <c r="K155" s="200">
        <f>K156</f>
        <v>0</v>
      </c>
      <c r="M155" s="40"/>
      <c r="N155" s="40"/>
    </row>
    <row r="156" spans="1:11" ht="35.25" customHeight="1">
      <c r="A156" s="189" t="s">
        <v>491</v>
      </c>
      <c r="B156" s="186">
        <v>250</v>
      </c>
      <c r="C156" s="253" t="s">
        <v>169</v>
      </c>
      <c r="D156" s="253" t="s">
        <v>301</v>
      </c>
      <c r="E156" s="253"/>
      <c r="F156" s="176" t="s">
        <v>522</v>
      </c>
      <c r="G156" s="255" t="s">
        <v>179</v>
      </c>
      <c r="H156" s="220"/>
      <c r="I156" s="200">
        <f aca="true" t="shared" si="13" ref="I156:K158">I157</f>
        <v>35280</v>
      </c>
      <c r="J156" s="200">
        <f t="shared" si="13"/>
        <v>0</v>
      </c>
      <c r="K156" s="200">
        <f t="shared" si="13"/>
        <v>0</v>
      </c>
    </row>
    <row r="157" spans="1:11" ht="15.75" hidden="1">
      <c r="A157" s="252" t="s">
        <v>15</v>
      </c>
      <c r="B157" s="182">
        <v>250</v>
      </c>
      <c r="C157" s="256" t="s">
        <v>169</v>
      </c>
      <c r="D157" s="256" t="s">
        <v>301</v>
      </c>
      <c r="E157" s="247"/>
      <c r="F157" s="182" t="s">
        <v>522</v>
      </c>
      <c r="G157" s="254" t="s">
        <v>495</v>
      </c>
      <c r="H157" s="255"/>
      <c r="I157" s="190">
        <f t="shared" si="13"/>
        <v>35280</v>
      </c>
      <c r="J157" s="190">
        <f t="shared" si="13"/>
        <v>0</v>
      </c>
      <c r="K157" s="190">
        <f t="shared" si="13"/>
        <v>0</v>
      </c>
    </row>
    <row r="158" spans="1:11" ht="15.75" hidden="1">
      <c r="A158" s="193" t="s">
        <v>161</v>
      </c>
      <c r="B158" s="182"/>
      <c r="C158" s="256"/>
      <c r="D158" s="256"/>
      <c r="E158" s="247"/>
      <c r="F158" s="182"/>
      <c r="G158" s="255" t="s">
        <v>157</v>
      </c>
      <c r="H158" s="255"/>
      <c r="I158" s="190">
        <v>35280</v>
      </c>
      <c r="J158" s="190">
        <f t="shared" si="13"/>
        <v>0</v>
      </c>
      <c r="K158" s="190">
        <f t="shared" si="13"/>
        <v>0</v>
      </c>
    </row>
    <row r="159" spans="1:11" ht="36" customHeight="1" hidden="1">
      <c r="A159" s="193" t="s">
        <v>21</v>
      </c>
      <c r="B159" s="182"/>
      <c r="C159" s="256"/>
      <c r="D159" s="256"/>
      <c r="E159" s="247"/>
      <c r="F159" s="182"/>
      <c r="G159" s="255" t="s">
        <v>380</v>
      </c>
      <c r="H159" s="255"/>
      <c r="I159" s="190">
        <f>I160+I161</f>
        <v>9661037.93</v>
      </c>
      <c r="J159" s="190">
        <f>J160+J161</f>
        <v>0</v>
      </c>
      <c r="K159" s="190">
        <f>K160+K161</f>
        <v>0</v>
      </c>
    </row>
    <row r="160" spans="1:11" ht="30" hidden="1">
      <c r="A160" s="193" t="s">
        <v>135</v>
      </c>
      <c r="B160" s="194"/>
      <c r="C160" s="257"/>
      <c r="D160" s="257"/>
      <c r="E160" s="257"/>
      <c r="F160" s="182"/>
      <c r="G160" s="246" t="s">
        <v>159</v>
      </c>
      <c r="H160" s="255"/>
      <c r="I160" s="190">
        <v>0</v>
      </c>
      <c r="J160" s="190"/>
      <c r="K160" s="190"/>
    </row>
    <row r="161" spans="1:11" ht="31.5">
      <c r="A161" s="181" t="s">
        <v>75</v>
      </c>
      <c r="B161" s="182">
        <v>250</v>
      </c>
      <c r="C161" s="247" t="s">
        <v>175</v>
      </c>
      <c r="D161" s="257"/>
      <c r="E161" s="257"/>
      <c r="F161" s="182"/>
      <c r="G161" s="246"/>
      <c r="H161" s="255"/>
      <c r="I161" s="258">
        <f>SUM(I162,I192)</f>
        <v>9661037.93</v>
      </c>
      <c r="J161" s="258">
        <f>SUM(J162,J192)</f>
        <v>0</v>
      </c>
      <c r="K161" s="258">
        <f>SUM(K162,K192)</f>
        <v>0</v>
      </c>
    </row>
    <row r="162" spans="1:11" ht="15.75">
      <c r="A162" s="181" t="s">
        <v>530</v>
      </c>
      <c r="B162" s="182">
        <v>250</v>
      </c>
      <c r="C162" s="247" t="s">
        <v>175</v>
      </c>
      <c r="D162" s="247" t="s">
        <v>146</v>
      </c>
      <c r="E162" s="257"/>
      <c r="F162" s="182"/>
      <c r="G162" s="246"/>
      <c r="H162" s="255"/>
      <c r="I162" s="190">
        <f>SUM(I163,I179,I186)</f>
        <v>1831036</v>
      </c>
      <c r="J162" s="190">
        <f>SUM(J163,J179,J186)</f>
        <v>0</v>
      </c>
      <c r="K162" s="190">
        <f>SUM(K163,K179,K186)</f>
        <v>0</v>
      </c>
    </row>
    <row r="163" spans="1:11" ht="31.5">
      <c r="A163" s="181" t="s">
        <v>531</v>
      </c>
      <c r="B163" s="182">
        <v>250</v>
      </c>
      <c r="C163" s="182" t="s">
        <v>73</v>
      </c>
      <c r="D163" s="192" t="s">
        <v>146</v>
      </c>
      <c r="E163" s="182" t="s">
        <v>136</v>
      </c>
      <c r="F163" s="182" t="s">
        <v>534</v>
      </c>
      <c r="G163" s="192"/>
      <c r="H163" s="255"/>
      <c r="I163" s="190">
        <f>I164</f>
        <v>800000</v>
      </c>
      <c r="J163" s="190">
        <f aca="true" t="shared" si="14" ref="J163:K166">J164</f>
        <v>0</v>
      </c>
      <c r="K163" s="190">
        <f t="shared" si="14"/>
        <v>0</v>
      </c>
    </row>
    <row r="164" spans="1:11" ht="47.25">
      <c r="A164" s="181" t="s">
        <v>532</v>
      </c>
      <c r="B164" s="182">
        <v>250</v>
      </c>
      <c r="C164" s="176" t="s">
        <v>73</v>
      </c>
      <c r="D164" s="191" t="s">
        <v>146</v>
      </c>
      <c r="E164" s="176" t="s">
        <v>136</v>
      </c>
      <c r="F164" s="182" t="s">
        <v>533</v>
      </c>
      <c r="G164" s="182"/>
      <c r="H164" s="255"/>
      <c r="I164" s="190">
        <f>I165</f>
        <v>800000</v>
      </c>
      <c r="J164" s="190">
        <f t="shared" si="14"/>
        <v>0</v>
      </c>
      <c r="K164" s="190">
        <f t="shared" si="14"/>
        <v>0</v>
      </c>
    </row>
    <row r="165" spans="1:11" ht="30">
      <c r="A165" s="189" t="s">
        <v>153</v>
      </c>
      <c r="B165" s="182">
        <v>250</v>
      </c>
      <c r="C165" s="176" t="s">
        <v>73</v>
      </c>
      <c r="D165" s="191" t="s">
        <v>146</v>
      </c>
      <c r="E165" s="176" t="s">
        <v>136</v>
      </c>
      <c r="F165" s="182" t="s">
        <v>533</v>
      </c>
      <c r="G165" s="176">
        <v>200</v>
      </c>
      <c r="H165" s="255"/>
      <c r="I165" s="190">
        <f>I166</f>
        <v>800000</v>
      </c>
      <c r="J165" s="190">
        <f t="shared" si="14"/>
        <v>0</v>
      </c>
      <c r="K165" s="190">
        <f t="shared" si="14"/>
        <v>0</v>
      </c>
    </row>
    <row r="166" spans="1:11" ht="30">
      <c r="A166" s="189" t="s">
        <v>248</v>
      </c>
      <c r="B166" s="182">
        <v>250</v>
      </c>
      <c r="C166" s="176" t="s">
        <v>73</v>
      </c>
      <c r="D166" s="191" t="s">
        <v>146</v>
      </c>
      <c r="E166" s="176" t="s">
        <v>136</v>
      </c>
      <c r="F166" s="182" t="s">
        <v>533</v>
      </c>
      <c r="G166" s="176">
        <v>240</v>
      </c>
      <c r="H166" s="255"/>
      <c r="I166" s="190">
        <f>I167</f>
        <v>800000</v>
      </c>
      <c r="J166" s="190">
        <f t="shared" si="14"/>
        <v>0</v>
      </c>
      <c r="K166" s="190">
        <f t="shared" si="14"/>
        <v>0</v>
      </c>
    </row>
    <row r="167" spans="1:11" ht="30">
      <c r="A167" s="189" t="s">
        <v>491</v>
      </c>
      <c r="B167" s="182"/>
      <c r="C167" s="247"/>
      <c r="D167" s="247"/>
      <c r="E167" s="257"/>
      <c r="F167" s="182"/>
      <c r="G167" s="255" t="s">
        <v>179</v>
      </c>
      <c r="H167" s="255"/>
      <c r="I167" s="190">
        <f>SUM(I168:I177)</f>
        <v>800000</v>
      </c>
      <c r="J167" s="190">
        <f>SUM(J168:J177)</f>
        <v>0</v>
      </c>
      <c r="K167" s="190">
        <f>SUM(K168:K177)</f>
        <v>0</v>
      </c>
    </row>
    <row r="168" spans="1:11" ht="15.75" hidden="1">
      <c r="A168" s="193" t="s">
        <v>15</v>
      </c>
      <c r="B168" s="182"/>
      <c r="C168" s="247"/>
      <c r="D168" s="247"/>
      <c r="E168" s="257"/>
      <c r="F168" s="182"/>
      <c r="G168" s="246" t="s">
        <v>495</v>
      </c>
      <c r="H168" s="255"/>
      <c r="I168" s="190">
        <v>0</v>
      </c>
      <c r="J168" s="190"/>
      <c r="K168" s="190"/>
    </row>
    <row r="169" spans="1:11" ht="15.75" hidden="1">
      <c r="A169" s="193" t="s">
        <v>161</v>
      </c>
      <c r="B169" s="182"/>
      <c r="C169" s="247"/>
      <c r="D169" s="247"/>
      <c r="E169" s="257"/>
      <c r="F169" s="182"/>
      <c r="G169" s="246" t="s">
        <v>157</v>
      </c>
      <c r="H169" s="255"/>
      <c r="I169" s="190">
        <v>800000</v>
      </c>
      <c r="J169" s="190"/>
      <c r="K169" s="190"/>
    </row>
    <row r="170" spans="1:11" ht="30" hidden="1">
      <c r="A170" s="193" t="s">
        <v>135</v>
      </c>
      <c r="B170" s="182"/>
      <c r="C170" s="247"/>
      <c r="D170" s="247"/>
      <c r="E170" s="257"/>
      <c r="F170" s="182"/>
      <c r="G170" s="246" t="s">
        <v>380</v>
      </c>
      <c r="H170" s="255"/>
      <c r="I170" s="190"/>
      <c r="J170" s="190"/>
      <c r="K170" s="190"/>
    </row>
    <row r="171" spans="1:11" ht="30" hidden="1">
      <c r="A171" s="193" t="s">
        <v>135</v>
      </c>
      <c r="B171" s="182"/>
      <c r="C171" s="247"/>
      <c r="D171" s="247"/>
      <c r="E171" s="257"/>
      <c r="F171" s="182"/>
      <c r="G171" s="246" t="s">
        <v>502</v>
      </c>
      <c r="H171" s="255"/>
      <c r="I171" s="190"/>
      <c r="J171" s="190"/>
      <c r="K171" s="190"/>
    </row>
    <row r="172" spans="1:11" ht="15.75" hidden="1">
      <c r="A172" s="193"/>
      <c r="B172" s="182"/>
      <c r="C172" s="247"/>
      <c r="D172" s="247"/>
      <c r="E172" s="257"/>
      <c r="F172" s="182"/>
      <c r="G172" s="246" t="s">
        <v>503</v>
      </c>
      <c r="H172" s="255"/>
      <c r="I172" s="190"/>
      <c r="J172" s="190"/>
      <c r="K172" s="190"/>
    </row>
    <row r="173" spans="1:11" ht="15.75" hidden="1">
      <c r="A173" s="57"/>
      <c r="B173" s="182"/>
      <c r="C173" s="247"/>
      <c r="D173" s="247"/>
      <c r="E173" s="257"/>
      <c r="F173" s="182"/>
      <c r="G173" s="246"/>
      <c r="H173" s="255"/>
      <c r="I173" s="190"/>
      <c r="J173" s="190"/>
      <c r="K173" s="190"/>
    </row>
    <row r="174" spans="1:11" ht="21.75" customHeight="1" hidden="1">
      <c r="A174" s="193"/>
      <c r="B174" s="182"/>
      <c r="C174" s="247"/>
      <c r="D174" s="247"/>
      <c r="E174" s="257"/>
      <c r="F174" s="182"/>
      <c r="G174" s="246"/>
      <c r="H174" s="255"/>
      <c r="I174" s="190"/>
      <c r="J174" s="190"/>
      <c r="K174" s="190"/>
    </row>
    <row r="175" spans="1:11" ht="15.75" hidden="1">
      <c r="A175" s="193"/>
      <c r="B175" s="182"/>
      <c r="C175" s="247"/>
      <c r="D175" s="247"/>
      <c r="E175" s="257"/>
      <c r="F175" s="182"/>
      <c r="G175" s="246"/>
      <c r="H175" s="255"/>
      <c r="I175" s="190"/>
      <c r="J175" s="190"/>
      <c r="K175" s="190"/>
    </row>
    <row r="176" spans="1:11" ht="12.75" customHeight="1" hidden="1">
      <c r="A176" s="193"/>
      <c r="B176" s="182"/>
      <c r="C176" s="247"/>
      <c r="D176" s="247"/>
      <c r="E176" s="257"/>
      <c r="F176" s="182"/>
      <c r="G176" s="246"/>
      <c r="H176" s="255"/>
      <c r="I176" s="190"/>
      <c r="J176" s="190"/>
      <c r="K176" s="190"/>
    </row>
    <row r="177" spans="1:11" ht="15.75" hidden="1">
      <c r="A177" s="181"/>
      <c r="B177" s="182"/>
      <c r="C177" s="247"/>
      <c r="D177" s="247"/>
      <c r="E177" s="257"/>
      <c r="F177" s="182"/>
      <c r="G177" s="246"/>
      <c r="H177" s="255"/>
      <c r="I177" s="190"/>
      <c r="J177" s="190"/>
      <c r="K177" s="190"/>
    </row>
    <row r="178" spans="1:11" ht="47.25">
      <c r="A178" s="181" t="s">
        <v>555</v>
      </c>
      <c r="B178" s="182">
        <v>250</v>
      </c>
      <c r="C178" s="182" t="s">
        <v>73</v>
      </c>
      <c r="D178" s="192" t="s">
        <v>146</v>
      </c>
      <c r="E178" s="182" t="s">
        <v>136</v>
      </c>
      <c r="F178" s="182" t="s">
        <v>450</v>
      </c>
      <c r="G178" s="246"/>
      <c r="H178" s="255"/>
      <c r="I178" s="188">
        <f>SUM(I179,I186)</f>
        <v>1031036</v>
      </c>
      <c r="J178" s="188">
        <f>SUM(J179,J186)</f>
        <v>0</v>
      </c>
      <c r="K178" s="188">
        <f>SUM(K179,K186)</f>
        <v>0</v>
      </c>
    </row>
    <row r="179" spans="1:11" ht="47.25">
      <c r="A179" s="181" t="s">
        <v>512</v>
      </c>
      <c r="B179" s="182">
        <v>250</v>
      </c>
      <c r="C179" s="182" t="s">
        <v>73</v>
      </c>
      <c r="D179" s="192" t="s">
        <v>146</v>
      </c>
      <c r="E179" s="182" t="s">
        <v>136</v>
      </c>
      <c r="F179" s="182" t="s">
        <v>450</v>
      </c>
      <c r="G179" s="192" t="s">
        <v>125</v>
      </c>
      <c r="H179" s="255"/>
      <c r="I179" s="190">
        <f aca="true" t="shared" si="15" ref="I179:K181">I180</f>
        <v>999999.98</v>
      </c>
      <c r="J179" s="190">
        <f t="shared" si="15"/>
        <v>0</v>
      </c>
      <c r="K179" s="190">
        <f t="shared" si="15"/>
        <v>0</v>
      </c>
    </row>
    <row r="180" spans="1:11" ht="30">
      <c r="A180" s="189" t="s">
        <v>153</v>
      </c>
      <c r="B180" s="182">
        <v>250</v>
      </c>
      <c r="C180" s="176" t="s">
        <v>73</v>
      </c>
      <c r="D180" s="191" t="s">
        <v>146</v>
      </c>
      <c r="E180" s="176" t="s">
        <v>136</v>
      </c>
      <c r="F180" s="176" t="str">
        <f>F179</f>
        <v>91 5 05 S2370</v>
      </c>
      <c r="G180" s="182">
        <v>200</v>
      </c>
      <c r="H180" s="255"/>
      <c r="I180" s="190">
        <f t="shared" si="15"/>
        <v>999999.98</v>
      </c>
      <c r="J180" s="190">
        <f t="shared" si="15"/>
        <v>0</v>
      </c>
      <c r="K180" s="190">
        <f t="shared" si="15"/>
        <v>0</v>
      </c>
    </row>
    <row r="181" spans="1:11" ht="30">
      <c r="A181" s="189" t="s">
        <v>248</v>
      </c>
      <c r="B181" s="182">
        <v>250</v>
      </c>
      <c r="C181" s="176" t="s">
        <v>73</v>
      </c>
      <c r="D181" s="191" t="s">
        <v>146</v>
      </c>
      <c r="E181" s="176" t="s">
        <v>136</v>
      </c>
      <c r="F181" s="176" t="str">
        <f>F180</f>
        <v>91 5 05 S2370</v>
      </c>
      <c r="G181" s="176">
        <v>240</v>
      </c>
      <c r="H181" s="255"/>
      <c r="I181" s="190">
        <f t="shared" si="15"/>
        <v>999999.98</v>
      </c>
      <c r="J181" s="190">
        <f t="shared" si="15"/>
        <v>0</v>
      </c>
      <c r="K181" s="190">
        <f t="shared" si="15"/>
        <v>0</v>
      </c>
    </row>
    <row r="182" spans="1:11" ht="30">
      <c r="A182" s="189" t="s">
        <v>491</v>
      </c>
      <c r="B182" s="182">
        <v>250</v>
      </c>
      <c r="C182" s="176" t="s">
        <v>73</v>
      </c>
      <c r="D182" s="191" t="s">
        <v>146</v>
      </c>
      <c r="E182" s="176" t="s">
        <v>136</v>
      </c>
      <c r="F182" s="176" t="str">
        <f>F181</f>
        <v>91 5 05 S2370</v>
      </c>
      <c r="G182" s="176">
        <v>244</v>
      </c>
      <c r="H182" s="255"/>
      <c r="I182" s="190">
        <f>I183+I184+I185</f>
        <v>999999.98</v>
      </c>
      <c r="J182" s="190">
        <v>0</v>
      </c>
      <c r="K182" s="190">
        <v>0</v>
      </c>
    </row>
    <row r="183" spans="1:11" ht="30" hidden="1">
      <c r="A183" s="193" t="s">
        <v>135</v>
      </c>
      <c r="B183" s="194">
        <v>250</v>
      </c>
      <c r="C183" s="195" t="s">
        <v>73</v>
      </c>
      <c r="D183" s="228" t="s">
        <v>146</v>
      </c>
      <c r="E183" s="195" t="s">
        <v>136</v>
      </c>
      <c r="F183" s="195" t="s">
        <v>450</v>
      </c>
      <c r="G183" s="195">
        <v>310</v>
      </c>
      <c r="H183" s="255"/>
      <c r="I183" s="190">
        <v>0</v>
      </c>
      <c r="J183" s="190"/>
      <c r="K183" s="190"/>
    </row>
    <row r="184" spans="1:11" ht="15.75" hidden="1">
      <c r="A184" s="193" t="s">
        <v>161</v>
      </c>
      <c r="B184" s="194">
        <v>250</v>
      </c>
      <c r="C184" s="195" t="s">
        <v>73</v>
      </c>
      <c r="D184" s="228" t="s">
        <v>146</v>
      </c>
      <c r="E184" s="195" t="s">
        <v>136</v>
      </c>
      <c r="F184" s="195" t="str">
        <f>F182</f>
        <v>91 5 05 S2370</v>
      </c>
      <c r="G184" s="195">
        <v>226</v>
      </c>
      <c r="H184" s="255"/>
      <c r="I184" s="190">
        <v>999999.98</v>
      </c>
      <c r="J184" s="190"/>
      <c r="K184" s="190"/>
    </row>
    <row r="185" spans="1:11" ht="30" hidden="1">
      <c r="A185" s="193" t="s">
        <v>135</v>
      </c>
      <c r="B185" s="194">
        <v>250</v>
      </c>
      <c r="C185" s="195" t="s">
        <v>73</v>
      </c>
      <c r="D185" s="228" t="s">
        <v>146</v>
      </c>
      <c r="E185" s="195" t="s">
        <v>136</v>
      </c>
      <c r="F185" s="195" t="str">
        <f aca="true" t="shared" si="16" ref="F185:F191">F184</f>
        <v>91 5 05 S2370</v>
      </c>
      <c r="G185" s="195">
        <v>340</v>
      </c>
      <c r="H185" s="255"/>
      <c r="I185" s="190">
        <v>0</v>
      </c>
      <c r="J185" s="190"/>
      <c r="K185" s="190"/>
    </row>
    <row r="186" spans="1:11" ht="63">
      <c r="A186" s="181" t="s">
        <v>513</v>
      </c>
      <c r="B186" s="182">
        <v>250</v>
      </c>
      <c r="C186" s="176" t="s">
        <v>73</v>
      </c>
      <c r="D186" s="191" t="s">
        <v>146</v>
      </c>
      <c r="E186" s="176" t="s">
        <v>136</v>
      </c>
      <c r="F186" s="176" t="str">
        <f t="shared" si="16"/>
        <v>91 5 05 S2370</v>
      </c>
      <c r="G186" s="192" t="s">
        <v>125</v>
      </c>
      <c r="H186" s="255"/>
      <c r="I186" s="190">
        <f aca="true" t="shared" si="17" ref="I186:K188">I187</f>
        <v>31036.02</v>
      </c>
      <c r="J186" s="190">
        <f t="shared" si="17"/>
        <v>0</v>
      </c>
      <c r="K186" s="190">
        <f t="shared" si="17"/>
        <v>0</v>
      </c>
    </row>
    <row r="187" spans="1:11" ht="30">
      <c r="A187" s="189" t="s">
        <v>153</v>
      </c>
      <c r="B187" s="182">
        <v>250</v>
      </c>
      <c r="C187" s="176" t="s">
        <v>73</v>
      </c>
      <c r="D187" s="191" t="s">
        <v>146</v>
      </c>
      <c r="E187" s="176" t="s">
        <v>136</v>
      </c>
      <c r="F187" s="176" t="str">
        <f t="shared" si="16"/>
        <v>91 5 05 S2370</v>
      </c>
      <c r="G187" s="192" t="s">
        <v>127</v>
      </c>
      <c r="H187" s="255"/>
      <c r="I187" s="190">
        <f t="shared" si="17"/>
        <v>31036.02</v>
      </c>
      <c r="J187" s="190">
        <f t="shared" si="17"/>
        <v>0</v>
      </c>
      <c r="K187" s="190">
        <f t="shared" si="17"/>
        <v>0</v>
      </c>
    </row>
    <row r="188" spans="1:11" ht="30">
      <c r="A188" s="189" t="s">
        <v>248</v>
      </c>
      <c r="B188" s="182">
        <v>250</v>
      </c>
      <c r="C188" s="176" t="s">
        <v>73</v>
      </c>
      <c r="D188" s="191" t="s">
        <v>146</v>
      </c>
      <c r="E188" s="176" t="s">
        <v>136</v>
      </c>
      <c r="F188" s="176" t="str">
        <f t="shared" si="16"/>
        <v>91 5 05 S2370</v>
      </c>
      <c r="G188" s="191" t="s">
        <v>249</v>
      </c>
      <c r="H188" s="255"/>
      <c r="I188" s="190">
        <f t="shared" si="17"/>
        <v>31036.02</v>
      </c>
      <c r="J188" s="190">
        <f t="shared" si="17"/>
        <v>0</v>
      </c>
      <c r="K188" s="190">
        <f t="shared" si="17"/>
        <v>0</v>
      </c>
    </row>
    <row r="189" spans="1:11" ht="29.25" customHeight="1">
      <c r="A189" s="189" t="s">
        <v>491</v>
      </c>
      <c r="B189" s="182">
        <v>250</v>
      </c>
      <c r="C189" s="176" t="s">
        <v>73</v>
      </c>
      <c r="D189" s="191" t="s">
        <v>146</v>
      </c>
      <c r="E189" s="176" t="s">
        <v>136</v>
      </c>
      <c r="F189" s="176" t="str">
        <f t="shared" si="16"/>
        <v>91 5 05 S2370</v>
      </c>
      <c r="G189" s="191" t="s">
        <v>179</v>
      </c>
      <c r="H189" s="255"/>
      <c r="I189" s="190">
        <f>I190</f>
        <v>31036.02</v>
      </c>
      <c r="J189" s="190">
        <f>SUM(J190:J191)</f>
        <v>0</v>
      </c>
      <c r="K189" s="190">
        <f>SUM(K190:K191)</f>
        <v>0</v>
      </c>
    </row>
    <row r="190" spans="1:11" ht="15.75" hidden="1">
      <c r="A190" s="193" t="s">
        <v>161</v>
      </c>
      <c r="B190" s="194">
        <v>250</v>
      </c>
      <c r="C190" s="195" t="s">
        <v>73</v>
      </c>
      <c r="D190" s="228" t="s">
        <v>146</v>
      </c>
      <c r="E190" s="195" t="s">
        <v>136</v>
      </c>
      <c r="F190" s="195" t="str">
        <f t="shared" si="16"/>
        <v>91 5 05 S2370</v>
      </c>
      <c r="G190" s="228" t="s">
        <v>157</v>
      </c>
      <c r="H190" s="255"/>
      <c r="I190" s="190">
        <v>31036.02</v>
      </c>
      <c r="J190" s="190">
        <v>0</v>
      </c>
      <c r="K190" s="190">
        <v>0</v>
      </c>
    </row>
    <row r="191" spans="1:11" ht="30" hidden="1">
      <c r="A191" s="193" t="s">
        <v>135</v>
      </c>
      <c r="B191" s="194">
        <v>250</v>
      </c>
      <c r="C191" s="195" t="s">
        <v>73</v>
      </c>
      <c r="D191" s="228" t="s">
        <v>146</v>
      </c>
      <c r="E191" s="195" t="s">
        <v>136</v>
      </c>
      <c r="F191" s="195" t="str">
        <f t="shared" si="16"/>
        <v>91 5 05 S2370</v>
      </c>
      <c r="G191" s="228" t="s">
        <v>159</v>
      </c>
      <c r="H191" s="255"/>
      <c r="I191" s="190">
        <v>0</v>
      </c>
      <c r="J191" s="190">
        <v>0</v>
      </c>
      <c r="K191" s="190">
        <v>0</v>
      </c>
    </row>
    <row r="192" spans="1:14" ht="24" customHeight="1">
      <c r="A192" s="219" t="s">
        <v>235</v>
      </c>
      <c r="B192" s="186">
        <v>250</v>
      </c>
      <c r="C192" s="186" t="s">
        <v>73</v>
      </c>
      <c r="D192" s="186" t="s">
        <v>43</v>
      </c>
      <c r="E192" s="186" t="s">
        <v>3</v>
      </c>
      <c r="F192" s="186" t="s">
        <v>412</v>
      </c>
      <c r="G192" s="186"/>
      <c r="H192" s="220" t="s">
        <v>125</v>
      </c>
      <c r="I192" s="259">
        <f>I193+I202+I210+I228+I235</f>
        <v>7830001.93</v>
      </c>
      <c r="J192" s="188">
        <f>J194+J200+J218+J228+J235+J241+J247+J254</f>
        <v>0</v>
      </c>
      <c r="K192" s="188">
        <f>K194+K200+K218+K228+K235+K241+K247+K254</f>
        <v>0</v>
      </c>
      <c r="L192" s="89"/>
      <c r="M192" s="98"/>
      <c r="N192" s="40"/>
    </row>
    <row r="193" spans="1:14" ht="47.25">
      <c r="A193" s="219" t="s">
        <v>232</v>
      </c>
      <c r="B193" s="186">
        <v>250</v>
      </c>
      <c r="C193" s="186" t="s">
        <v>73</v>
      </c>
      <c r="D193" s="186" t="s">
        <v>43</v>
      </c>
      <c r="E193" s="186"/>
      <c r="F193" s="186" t="s">
        <v>424</v>
      </c>
      <c r="G193" s="186"/>
      <c r="H193" s="220"/>
      <c r="I193" s="259">
        <f>I194</f>
        <v>129293.93</v>
      </c>
      <c r="J193" s="188">
        <f>J194</f>
        <v>0</v>
      </c>
      <c r="K193" s="188">
        <f>K194</f>
        <v>0</v>
      </c>
      <c r="L193" s="89"/>
      <c r="N193" s="40"/>
    </row>
    <row r="194" spans="1:14" ht="31.5">
      <c r="A194" s="219" t="s">
        <v>538</v>
      </c>
      <c r="B194" s="182">
        <v>250</v>
      </c>
      <c r="C194" s="182" t="s">
        <v>73</v>
      </c>
      <c r="D194" s="182" t="s">
        <v>43</v>
      </c>
      <c r="E194" s="182" t="s">
        <v>134</v>
      </c>
      <c r="F194" s="182" t="s">
        <v>442</v>
      </c>
      <c r="G194" s="182"/>
      <c r="H194" s="254" t="s">
        <v>125</v>
      </c>
      <c r="I194" s="188">
        <f>SUM(I197)</f>
        <v>129293.93</v>
      </c>
      <c r="J194" s="188">
        <f>SUM(J197)</f>
        <v>0</v>
      </c>
      <c r="K194" s="188">
        <f>SUM(K197)</f>
        <v>0</v>
      </c>
      <c r="N194" s="40"/>
    </row>
    <row r="195" spans="1:13" ht="30">
      <c r="A195" s="189" t="s">
        <v>153</v>
      </c>
      <c r="B195" s="182">
        <v>250</v>
      </c>
      <c r="C195" s="176" t="s">
        <v>73</v>
      </c>
      <c r="D195" s="176" t="s">
        <v>43</v>
      </c>
      <c r="E195" s="176" t="s">
        <v>134</v>
      </c>
      <c r="F195" s="176" t="str">
        <f>F194</f>
        <v>91 5 02 90180</v>
      </c>
      <c r="G195" s="182">
        <v>200</v>
      </c>
      <c r="H195" s="254"/>
      <c r="I195" s="190">
        <f aca="true" t="shared" si="18" ref="I195:K196">I196</f>
        <v>129293.93</v>
      </c>
      <c r="J195" s="190">
        <f t="shared" si="18"/>
        <v>0</v>
      </c>
      <c r="K195" s="190">
        <f t="shared" si="18"/>
        <v>0</v>
      </c>
      <c r="M195" s="40"/>
    </row>
    <row r="196" spans="1:11" ht="30">
      <c r="A196" s="189" t="s">
        <v>248</v>
      </c>
      <c r="B196" s="182">
        <v>250</v>
      </c>
      <c r="C196" s="176" t="s">
        <v>73</v>
      </c>
      <c r="D196" s="176" t="s">
        <v>43</v>
      </c>
      <c r="E196" s="176" t="s">
        <v>134</v>
      </c>
      <c r="F196" s="176" t="str">
        <f>F195</f>
        <v>91 5 02 90180</v>
      </c>
      <c r="G196" s="176">
        <v>240</v>
      </c>
      <c r="H196" s="254"/>
      <c r="I196" s="190">
        <f t="shared" si="18"/>
        <v>129293.93</v>
      </c>
      <c r="J196" s="190">
        <f t="shared" si="18"/>
        <v>0</v>
      </c>
      <c r="K196" s="190">
        <f t="shared" si="18"/>
        <v>0</v>
      </c>
    </row>
    <row r="197" spans="1:11" ht="36" customHeight="1">
      <c r="A197" s="189" t="s">
        <v>491</v>
      </c>
      <c r="B197" s="182">
        <v>250</v>
      </c>
      <c r="C197" s="176" t="s">
        <v>73</v>
      </c>
      <c r="D197" s="176" t="s">
        <v>43</v>
      </c>
      <c r="E197" s="176" t="s">
        <v>134</v>
      </c>
      <c r="F197" s="176" t="str">
        <f>F196</f>
        <v>91 5 02 90180</v>
      </c>
      <c r="G197" s="176">
        <v>244</v>
      </c>
      <c r="H197" s="254" t="s">
        <v>125</v>
      </c>
      <c r="I197" s="190">
        <f>I198</f>
        <v>129293.93</v>
      </c>
      <c r="J197" s="190">
        <v>0</v>
      </c>
      <c r="K197" s="190">
        <v>0</v>
      </c>
    </row>
    <row r="198" spans="1:11" ht="12.75" customHeight="1" hidden="1">
      <c r="A198" s="189" t="s">
        <v>161</v>
      </c>
      <c r="B198" s="182">
        <v>250</v>
      </c>
      <c r="C198" s="176" t="s">
        <v>73</v>
      </c>
      <c r="D198" s="176" t="s">
        <v>43</v>
      </c>
      <c r="E198" s="176" t="s">
        <v>134</v>
      </c>
      <c r="F198" s="176" t="str">
        <f>F197</f>
        <v>91 5 02 90180</v>
      </c>
      <c r="G198" s="176">
        <v>226</v>
      </c>
      <c r="H198" s="254"/>
      <c r="I198" s="190">
        <v>129293.93</v>
      </c>
      <c r="J198" s="190"/>
      <c r="K198" s="190"/>
    </row>
    <row r="199" spans="1:11" ht="27" customHeight="1" hidden="1">
      <c r="A199" s="193" t="s">
        <v>135</v>
      </c>
      <c r="B199" s="182">
        <v>250</v>
      </c>
      <c r="C199" s="176" t="s">
        <v>73</v>
      </c>
      <c r="D199" s="176" t="s">
        <v>43</v>
      </c>
      <c r="E199" s="176" t="s">
        <v>134</v>
      </c>
      <c r="F199" s="176" t="s">
        <v>345</v>
      </c>
      <c r="G199" s="176">
        <v>340</v>
      </c>
      <c r="H199" s="176">
        <v>340</v>
      </c>
      <c r="I199" s="190">
        <v>0</v>
      </c>
      <c r="J199" s="204"/>
      <c r="K199" s="204"/>
    </row>
    <row r="200" spans="1:11" ht="15.75" hidden="1">
      <c r="A200" s="181" t="s">
        <v>234</v>
      </c>
      <c r="B200" s="182">
        <v>250</v>
      </c>
      <c r="C200" s="192" t="s">
        <v>175</v>
      </c>
      <c r="D200" s="192" t="s">
        <v>176</v>
      </c>
      <c r="E200" s="192" t="s">
        <v>226</v>
      </c>
      <c r="F200" s="182" t="s">
        <v>413</v>
      </c>
      <c r="G200" s="254"/>
      <c r="H200" s="254" t="s">
        <v>125</v>
      </c>
      <c r="I200" s="188">
        <v>0</v>
      </c>
      <c r="J200" s="188">
        <f>J203</f>
        <v>0</v>
      </c>
      <c r="K200" s="188">
        <f>K203</f>
        <v>0</v>
      </c>
    </row>
    <row r="201" spans="1:11" ht="63">
      <c r="A201" s="181" t="s">
        <v>554</v>
      </c>
      <c r="B201" s="186">
        <v>250</v>
      </c>
      <c r="C201" s="220" t="s">
        <v>175</v>
      </c>
      <c r="D201" s="220" t="s">
        <v>176</v>
      </c>
      <c r="E201" s="220"/>
      <c r="F201" s="186" t="s">
        <v>475</v>
      </c>
      <c r="G201" s="254"/>
      <c r="H201" s="254"/>
      <c r="I201" s="188">
        <f>SUM(I202,I210)</f>
        <v>7438000</v>
      </c>
      <c r="J201" s="188">
        <f>SUM(J202,J210)</f>
        <v>0</v>
      </c>
      <c r="K201" s="188">
        <f>SUM(K202,K210)</f>
        <v>0</v>
      </c>
    </row>
    <row r="202" spans="1:11" ht="63">
      <c r="A202" s="219" t="s">
        <v>507</v>
      </c>
      <c r="B202" s="186">
        <v>250</v>
      </c>
      <c r="C202" s="220" t="s">
        <v>175</v>
      </c>
      <c r="D202" s="220" t="s">
        <v>176</v>
      </c>
      <c r="E202" s="220"/>
      <c r="F202" s="186" t="s">
        <v>475</v>
      </c>
      <c r="G202" s="220"/>
      <c r="H202" s="220"/>
      <c r="I202" s="188">
        <f>I203</f>
        <v>7200000</v>
      </c>
      <c r="J202" s="188">
        <v>0</v>
      </c>
      <c r="K202" s="188">
        <v>0</v>
      </c>
    </row>
    <row r="203" spans="1:11" ht="30">
      <c r="A203" s="189" t="s">
        <v>153</v>
      </c>
      <c r="B203" s="182">
        <v>250</v>
      </c>
      <c r="C203" s="191" t="s">
        <v>175</v>
      </c>
      <c r="D203" s="191" t="s">
        <v>176</v>
      </c>
      <c r="E203" s="191" t="s">
        <v>226</v>
      </c>
      <c r="F203" s="176" t="s">
        <v>475</v>
      </c>
      <c r="G203" s="254" t="s">
        <v>127</v>
      </c>
      <c r="H203" s="254"/>
      <c r="I203" s="190">
        <f aca="true" t="shared" si="19" ref="I203:K204">I204</f>
        <v>7200000</v>
      </c>
      <c r="J203" s="190">
        <f t="shared" si="19"/>
        <v>0</v>
      </c>
      <c r="K203" s="190">
        <f t="shared" si="19"/>
        <v>0</v>
      </c>
    </row>
    <row r="204" spans="1:11" ht="30">
      <c r="A204" s="189" t="s">
        <v>248</v>
      </c>
      <c r="B204" s="182">
        <v>250</v>
      </c>
      <c r="C204" s="191" t="s">
        <v>175</v>
      </c>
      <c r="D204" s="191" t="s">
        <v>176</v>
      </c>
      <c r="E204" s="191" t="s">
        <v>226</v>
      </c>
      <c r="F204" s="176" t="str">
        <f>F203</f>
        <v>91 Л 02 S2870</v>
      </c>
      <c r="G204" s="255" t="s">
        <v>249</v>
      </c>
      <c r="H204" s="254"/>
      <c r="I204" s="190">
        <f t="shared" si="19"/>
        <v>7200000</v>
      </c>
      <c r="J204" s="190">
        <f t="shared" si="19"/>
        <v>0</v>
      </c>
      <c r="K204" s="190">
        <f t="shared" si="19"/>
        <v>0</v>
      </c>
    </row>
    <row r="205" spans="1:11" ht="30">
      <c r="A205" s="189" t="s">
        <v>491</v>
      </c>
      <c r="B205" s="182">
        <v>250</v>
      </c>
      <c r="C205" s="191" t="s">
        <v>175</v>
      </c>
      <c r="D205" s="191" t="s">
        <v>176</v>
      </c>
      <c r="E205" s="191" t="s">
        <v>226</v>
      </c>
      <c r="F205" s="176" t="str">
        <f>F204</f>
        <v>91 Л 02 S2870</v>
      </c>
      <c r="G205" s="176">
        <v>244</v>
      </c>
      <c r="H205" s="254" t="s">
        <v>125</v>
      </c>
      <c r="I205" s="190">
        <f>I206+I207+I208+I209</f>
        <v>7200000</v>
      </c>
      <c r="J205" s="190">
        <f>J206+J207+J208+J209</f>
        <v>0</v>
      </c>
      <c r="K205" s="190">
        <f>K206+K207+K208+K209</f>
        <v>0</v>
      </c>
    </row>
    <row r="206" spans="1:11" ht="15.75" hidden="1">
      <c r="A206" s="252" t="s">
        <v>15</v>
      </c>
      <c r="B206" s="194">
        <v>250</v>
      </c>
      <c r="C206" s="228" t="s">
        <v>175</v>
      </c>
      <c r="D206" s="228" t="s">
        <v>176</v>
      </c>
      <c r="E206" s="228" t="s">
        <v>226</v>
      </c>
      <c r="F206" s="195" t="s">
        <v>475</v>
      </c>
      <c r="G206" s="195">
        <v>222</v>
      </c>
      <c r="H206" s="254"/>
      <c r="I206" s="190">
        <v>958322.13</v>
      </c>
      <c r="J206" s="190">
        <v>0</v>
      </c>
      <c r="K206" s="190">
        <v>0</v>
      </c>
    </row>
    <row r="207" spans="1:11" ht="15.75" hidden="1">
      <c r="A207" s="193" t="s">
        <v>161</v>
      </c>
      <c r="B207" s="194">
        <v>250</v>
      </c>
      <c r="C207" s="228" t="s">
        <v>175</v>
      </c>
      <c r="D207" s="228" t="s">
        <v>176</v>
      </c>
      <c r="E207" s="228" t="s">
        <v>226</v>
      </c>
      <c r="F207" s="195" t="s">
        <v>475</v>
      </c>
      <c r="G207" s="195">
        <v>226</v>
      </c>
      <c r="H207" s="254"/>
      <c r="I207" s="190">
        <v>1459747.26</v>
      </c>
      <c r="J207" s="190">
        <v>0</v>
      </c>
      <c r="K207" s="190">
        <v>0</v>
      </c>
    </row>
    <row r="208" spans="1:11" ht="30" hidden="1">
      <c r="A208" s="193" t="s">
        <v>21</v>
      </c>
      <c r="B208" s="194">
        <v>250</v>
      </c>
      <c r="C208" s="228" t="s">
        <v>175</v>
      </c>
      <c r="D208" s="228" t="s">
        <v>176</v>
      </c>
      <c r="E208" s="228" t="s">
        <v>226</v>
      </c>
      <c r="F208" s="195" t="s">
        <v>475</v>
      </c>
      <c r="G208" s="195">
        <v>310</v>
      </c>
      <c r="H208" s="254"/>
      <c r="I208" s="190">
        <v>3997848.88</v>
      </c>
      <c r="J208" s="190">
        <v>0</v>
      </c>
      <c r="K208" s="190">
        <v>0</v>
      </c>
    </row>
    <row r="209" spans="1:11" ht="30" hidden="1">
      <c r="A209" s="193" t="s">
        <v>135</v>
      </c>
      <c r="B209" s="194">
        <v>250</v>
      </c>
      <c r="C209" s="228" t="s">
        <v>175</v>
      </c>
      <c r="D209" s="228" t="s">
        <v>176</v>
      </c>
      <c r="E209" s="228" t="s">
        <v>226</v>
      </c>
      <c r="F209" s="195" t="s">
        <v>475</v>
      </c>
      <c r="G209" s="195">
        <v>344</v>
      </c>
      <c r="H209" s="176"/>
      <c r="I209" s="190">
        <v>784081.73</v>
      </c>
      <c r="J209" s="204">
        <v>0</v>
      </c>
      <c r="K209" s="204">
        <v>0</v>
      </c>
    </row>
    <row r="210" spans="1:11" s="118" customFormat="1" ht="63">
      <c r="A210" s="219" t="s">
        <v>508</v>
      </c>
      <c r="B210" s="260">
        <v>250</v>
      </c>
      <c r="C210" s="261" t="s">
        <v>175</v>
      </c>
      <c r="D210" s="261" t="s">
        <v>176</v>
      </c>
      <c r="E210" s="261"/>
      <c r="F210" s="260" t="s">
        <v>475</v>
      </c>
      <c r="G210" s="261"/>
      <c r="H210" s="260"/>
      <c r="I210" s="262">
        <f>I211</f>
        <v>237999.99999999997</v>
      </c>
      <c r="J210" s="262">
        <f>J211</f>
        <v>0</v>
      </c>
      <c r="K210" s="262">
        <f>K211</f>
        <v>0</v>
      </c>
    </row>
    <row r="211" spans="1:11" ht="30">
      <c r="A211" s="189" t="s">
        <v>153</v>
      </c>
      <c r="B211" s="263">
        <v>250</v>
      </c>
      <c r="C211" s="264" t="s">
        <v>175</v>
      </c>
      <c r="D211" s="264" t="s">
        <v>176</v>
      </c>
      <c r="E211" s="264"/>
      <c r="F211" s="265" t="s">
        <v>475</v>
      </c>
      <c r="G211" s="254" t="s">
        <v>127</v>
      </c>
      <c r="H211" s="176"/>
      <c r="I211" s="190">
        <f>I212</f>
        <v>237999.99999999997</v>
      </c>
      <c r="J211" s="204">
        <v>0</v>
      </c>
      <c r="K211" s="204">
        <v>0</v>
      </c>
    </row>
    <row r="212" spans="1:11" ht="30">
      <c r="A212" s="189" t="s">
        <v>248</v>
      </c>
      <c r="B212" s="263">
        <v>250</v>
      </c>
      <c r="C212" s="264" t="s">
        <v>175</v>
      </c>
      <c r="D212" s="264" t="s">
        <v>176</v>
      </c>
      <c r="E212" s="264"/>
      <c r="F212" s="265" t="s">
        <v>476</v>
      </c>
      <c r="G212" s="255" t="s">
        <v>249</v>
      </c>
      <c r="H212" s="176"/>
      <c r="I212" s="190">
        <f>I213</f>
        <v>237999.99999999997</v>
      </c>
      <c r="J212" s="190">
        <f>J213</f>
        <v>0</v>
      </c>
      <c r="K212" s="190">
        <f>K213</f>
        <v>0</v>
      </c>
    </row>
    <row r="213" spans="1:11" ht="30">
      <c r="A213" s="189" t="s">
        <v>491</v>
      </c>
      <c r="B213" s="263">
        <v>250</v>
      </c>
      <c r="C213" s="264" t="s">
        <v>175</v>
      </c>
      <c r="D213" s="264" t="s">
        <v>176</v>
      </c>
      <c r="E213" s="264"/>
      <c r="F213" s="265" t="s">
        <v>475</v>
      </c>
      <c r="G213" s="176">
        <v>244</v>
      </c>
      <c r="H213" s="176"/>
      <c r="I213" s="190">
        <f>I214+I215+I216+I217</f>
        <v>237999.99999999997</v>
      </c>
      <c r="J213" s="204">
        <v>0</v>
      </c>
      <c r="K213" s="204">
        <v>0</v>
      </c>
    </row>
    <row r="214" spans="1:11" ht="15.75" hidden="1">
      <c r="A214" s="252" t="s">
        <v>15</v>
      </c>
      <c r="B214" s="194">
        <v>250</v>
      </c>
      <c r="C214" s="228" t="s">
        <v>175</v>
      </c>
      <c r="D214" s="228" t="s">
        <v>176</v>
      </c>
      <c r="E214" s="228"/>
      <c r="F214" s="195" t="s">
        <v>474</v>
      </c>
      <c r="G214" s="195">
        <v>222</v>
      </c>
      <c r="H214" s="176"/>
      <c r="I214" s="190">
        <v>31677.87</v>
      </c>
      <c r="J214" s="204"/>
      <c r="K214" s="204"/>
    </row>
    <row r="215" spans="1:11" ht="15.75" hidden="1">
      <c r="A215" s="193" t="s">
        <v>161</v>
      </c>
      <c r="B215" s="194">
        <v>250</v>
      </c>
      <c r="C215" s="228" t="s">
        <v>175</v>
      </c>
      <c r="D215" s="228" t="s">
        <v>176</v>
      </c>
      <c r="E215" s="228"/>
      <c r="F215" s="195" t="s">
        <v>474</v>
      </c>
      <c r="G215" s="195">
        <v>226</v>
      </c>
      <c r="H215" s="176"/>
      <c r="I215" s="190">
        <v>48252.74</v>
      </c>
      <c r="J215" s="204"/>
      <c r="K215" s="204"/>
    </row>
    <row r="216" spans="1:11" ht="30" hidden="1">
      <c r="A216" s="193" t="s">
        <v>21</v>
      </c>
      <c r="B216" s="194">
        <v>250</v>
      </c>
      <c r="C216" s="228" t="s">
        <v>175</v>
      </c>
      <c r="D216" s="228" t="s">
        <v>176</v>
      </c>
      <c r="E216" s="228"/>
      <c r="F216" s="195" t="s">
        <v>474</v>
      </c>
      <c r="G216" s="195">
        <v>310</v>
      </c>
      <c r="H216" s="176"/>
      <c r="I216" s="190">
        <v>132151.12</v>
      </c>
      <c r="J216" s="204"/>
      <c r="K216" s="204"/>
    </row>
    <row r="217" spans="1:11" ht="30" hidden="1">
      <c r="A217" s="193" t="s">
        <v>519</v>
      </c>
      <c r="B217" s="194">
        <v>250</v>
      </c>
      <c r="C217" s="228" t="s">
        <v>175</v>
      </c>
      <c r="D217" s="228" t="s">
        <v>176</v>
      </c>
      <c r="E217" s="228"/>
      <c r="F217" s="195" t="s">
        <v>474</v>
      </c>
      <c r="G217" s="195">
        <v>344</v>
      </c>
      <c r="H217" s="176"/>
      <c r="I217" s="190">
        <v>25918.27</v>
      </c>
      <c r="J217" s="204"/>
      <c r="K217" s="204"/>
    </row>
    <row r="218" spans="1:11" ht="31.5" hidden="1">
      <c r="A218" s="181" t="s">
        <v>233</v>
      </c>
      <c r="B218" s="182">
        <v>250</v>
      </c>
      <c r="C218" s="192" t="s">
        <v>175</v>
      </c>
      <c r="D218" s="192" t="s">
        <v>176</v>
      </c>
      <c r="E218" s="192" t="s">
        <v>227</v>
      </c>
      <c r="F218" s="182" t="s">
        <v>444</v>
      </c>
      <c r="G218" s="182"/>
      <c r="H218" s="254" t="s">
        <v>125</v>
      </c>
      <c r="I218" s="188">
        <f>I222</f>
        <v>0</v>
      </c>
      <c r="J218" s="188">
        <f>J222</f>
        <v>0</v>
      </c>
      <c r="K218" s="188">
        <f>K222</f>
        <v>0</v>
      </c>
    </row>
    <row r="219" spans="1:11" ht="31.5" hidden="1">
      <c r="A219" s="213" t="s">
        <v>425</v>
      </c>
      <c r="B219" s="182"/>
      <c r="C219" s="192"/>
      <c r="D219" s="192"/>
      <c r="E219" s="192"/>
      <c r="F219" s="182" t="s">
        <v>443</v>
      </c>
      <c r="G219" s="182"/>
      <c r="H219" s="254"/>
      <c r="I219" s="188"/>
      <c r="J219" s="188"/>
      <c r="K219" s="188"/>
    </row>
    <row r="220" spans="1:11" ht="60" hidden="1">
      <c r="A220" s="189" t="s">
        <v>158</v>
      </c>
      <c r="B220" s="182">
        <v>250</v>
      </c>
      <c r="C220" s="191" t="s">
        <v>175</v>
      </c>
      <c r="D220" s="191" t="s">
        <v>176</v>
      </c>
      <c r="E220" s="191" t="s">
        <v>227</v>
      </c>
      <c r="F220" s="176" t="s">
        <v>443</v>
      </c>
      <c r="G220" s="182">
        <v>200</v>
      </c>
      <c r="H220" s="254"/>
      <c r="I220" s="190">
        <f aca="true" t="shared" si="20" ref="I220:K221">I221</f>
        <v>0</v>
      </c>
      <c r="J220" s="190">
        <f t="shared" si="20"/>
        <v>0</v>
      </c>
      <c r="K220" s="190">
        <f t="shared" si="20"/>
        <v>0</v>
      </c>
    </row>
    <row r="221" spans="1:11" ht="30" hidden="1">
      <c r="A221" s="189" t="s">
        <v>248</v>
      </c>
      <c r="B221" s="182">
        <v>250</v>
      </c>
      <c r="C221" s="191" t="s">
        <v>175</v>
      </c>
      <c r="D221" s="191" t="s">
        <v>176</v>
      </c>
      <c r="E221" s="191" t="s">
        <v>227</v>
      </c>
      <c r="F221" s="176" t="str">
        <f>F220</f>
        <v>91 5 04 90180</v>
      </c>
      <c r="G221" s="176">
        <v>240</v>
      </c>
      <c r="H221" s="254"/>
      <c r="I221" s="190">
        <f t="shared" si="20"/>
        <v>0</v>
      </c>
      <c r="J221" s="190">
        <f t="shared" si="20"/>
        <v>0</v>
      </c>
      <c r="K221" s="190">
        <f t="shared" si="20"/>
        <v>0</v>
      </c>
    </row>
    <row r="222" spans="1:11" ht="30" hidden="1">
      <c r="A222" s="189" t="s">
        <v>497</v>
      </c>
      <c r="B222" s="182">
        <v>250</v>
      </c>
      <c r="C222" s="191" t="s">
        <v>175</v>
      </c>
      <c r="D222" s="191" t="s">
        <v>176</v>
      </c>
      <c r="E222" s="191" t="s">
        <v>227</v>
      </c>
      <c r="F222" s="176" t="str">
        <f>F221</f>
        <v>91 5 04 90180</v>
      </c>
      <c r="G222" s="176">
        <v>244</v>
      </c>
      <c r="H222" s="254" t="s">
        <v>125</v>
      </c>
      <c r="I222" s="190">
        <f>I225+I224+I223</f>
        <v>0</v>
      </c>
      <c r="J222" s="190">
        <f>J223+J224+J225</f>
        <v>0</v>
      </c>
      <c r="K222" s="190">
        <f>K223+K224+K225</f>
        <v>0</v>
      </c>
    </row>
    <row r="223" spans="1:11" ht="15.75" hidden="1">
      <c r="A223" s="193" t="s">
        <v>161</v>
      </c>
      <c r="B223" s="194">
        <v>250</v>
      </c>
      <c r="C223" s="228" t="s">
        <v>175</v>
      </c>
      <c r="D223" s="228" t="s">
        <v>176</v>
      </c>
      <c r="E223" s="228" t="s">
        <v>227</v>
      </c>
      <c r="F223" s="194" t="s">
        <v>262</v>
      </c>
      <c r="G223" s="195">
        <v>226</v>
      </c>
      <c r="H223" s="254"/>
      <c r="I223" s="190">
        <v>0</v>
      </c>
      <c r="J223" s="190">
        <v>0</v>
      </c>
      <c r="K223" s="190">
        <v>0</v>
      </c>
    </row>
    <row r="224" spans="1:11" ht="30" hidden="1">
      <c r="A224" s="193" t="s">
        <v>21</v>
      </c>
      <c r="B224" s="194">
        <v>250</v>
      </c>
      <c r="C224" s="228" t="s">
        <v>175</v>
      </c>
      <c r="D224" s="228" t="s">
        <v>176</v>
      </c>
      <c r="E224" s="228" t="s">
        <v>227</v>
      </c>
      <c r="F224" s="194" t="s">
        <v>262</v>
      </c>
      <c r="G224" s="195">
        <v>310</v>
      </c>
      <c r="H224" s="254"/>
      <c r="I224" s="190">
        <v>0</v>
      </c>
      <c r="J224" s="190">
        <v>0</v>
      </c>
      <c r="K224" s="190">
        <v>0</v>
      </c>
    </row>
    <row r="225" spans="1:11" ht="30" hidden="1">
      <c r="A225" s="193" t="s">
        <v>135</v>
      </c>
      <c r="B225" s="194">
        <v>250</v>
      </c>
      <c r="C225" s="228" t="s">
        <v>175</v>
      </c>
      <c r="D225" s="228" t="s">
        <v>176</v>
      </c>
      <c r="E225" s="228" t="s">
        <v>227</v>
      </c>
      <c r="F225" s="194" t="s">
        <v>262</v>
      </c>
      <c r="G225" s="195">
        <v>340</v>
      </c>
      <c r="H225" s="176">
        <v>340</v>
      </c>
      <c r="I225" s="190">
        <v>0</v>
      </c>
      <c r="J225" s="204">
        <v>0</v>
      </c>
      <c r="K225" s="204">
        <v>0</v>
      </c>
    </row>
    <row r="226" spans="1:11" ht="15.75" hidden="1">
      <c r="A226" s="266"/>
      <c r="B226" s="194"/>
      <c r="C226" s="228"/>
      <c r="D226" s="228"/>
      <c r="E226" s="228"/>
      <c r="F226" s="182" t="s">
        <v>424</v>
      </c>
      <c r="G226" s="195"/>
      <c r="H226" s="176"/>
      <c r="I226" s="190"/>
      <c r="J226" s="204"/>
      <c r="K226" s="204"/>
    </row>
    <row r="227" spans="1:11" ht="48.75" customHeight="1">
      <c r="A227" s="245" t="s">
        <v>555</v>
      </c>
      <c r="B227" s="182">
        <v>250</v>
      </c>
      <c r="C227" s="182" t="s">
        <v>73</v>
      </c>
      <c r="D227" s="182" t="s">
        <v>43</v>
      </c>
      <c r="E227" s="182" t="s">
        <v>136</v>
      </c>
      <c r="F227" s="182" t="s">
        <v>450</v>
      </c>
      <c r="G227" s="195"/>
      <c r="H227" s="176"/>
      <c r="I227" s="188">
        <f>SUM(I228,I235)</f>
        <v>262708</v>
      </c>
      <c r="J227" s="188">
        <f>SUM(J228,J235)</f>
        <v>0</v>
      </c>
      <c r="K227" s="188">
        <f>SUM(K228,K235)</f>
        <v>0</v>
      </c>
    </row>
    <row r="228" spans="1:11" ht="48" customHeight="1">
      <c r="A228" s="181" t="s">
        <v>512</v>
      </c>
      <c r="B228" s="182">
        <v>250</v>
      </c>
      <c r="C228" s="182" t="s">
        <v>73</v>
      </c>
      <c r="D228" s="182" t="s">
        <v>43</v>
      </c>
      <c r="E228" s="182" t="s">
        <v>136</v>
      </c>
      <c r="F228" s="182" t="s">
        <v>450</v>
      </c>
      <c r="G228" s="182"/>
      <c r="H228" s="254" t="s">
        <v>125</v>
      </c>
      <c r="I228" s="188">
        <f>SUM(I231)</f>
        <v>254800.02</v>
      </c>
      <c r="J228" s="188">
        <f>SUM(J231)</f>
        <v>0</v>
      </c>
      <c r="K228" s="188">
        <f>SUM(K231)</f>
        <v>0</v>
      </c>
    </row>
    <row r="229" spans="1:11" ht="37.5" customHeight="1">
      <c r="A229" s="189" t="s">
        <v>153</v>
      </c>
      <c r="B229" s="182">
        <v>250</v>
      </c>
      <c r="C229" s="176" t="s">
        <v>73</v>
      </c>
      <c r="D229" s="176" t="s">
        <v>43</v>
      </c>
      <c r="E229" s="176" t="s">
        <v>136</v>
      </c>
      <c r="F229" s="176" t="str">
        <f>F228</f>
        <v>91 5 05 S2370</v>
      </c>
      <c r="G229" s="182">
        <v>200</v>
      </c>
      <c r="H229" s="254"/>
      <c r="I229" s="190">
        <f aca="true" t="shared" si="21" ref="I229:K230">I230</f>
        <v>254800.02</v>
      </c>
      <c r="J229" s="190">
        <f t="shared" si="21"/>
        <v>0</v>
      </c>
      <c r="K229" s="190">
        <f t="shared" si="21"/>
        <v>0</v>
      </c>
    </row>
    <row r="230" spans="1:15" ht="32.25" customHeight="1">
      <c r="A230" s="189" t="s">
        <v>248</v>
      </c>
      <c r="B230" s="182">
        <v>250</v>
      </c>
      <c r="C230" s="176" t="s">
        <v>73</v>
      </c>
      <c r="D230" s="176" t="s">
        <v>43</v>
      </c>
      <c r="E230" s="176" t="s">
        <v>136</v>
      </c>
      <c r="F230" s="176" t="str">
        <f>F229</f>
        <v>91 5 05 S2370</v>
      </c>
      <c r="G230" s="176">
        <v>240</v>
      </c>
      <c r="H230" s="254"/>
      <c r="I230" s="190">
        <f t="shared" si="21"/>
        <v>254800.02</v>
      </c>
      <c r="J230" s="190">
        <f t="shared" si="21"/>
        <v>0</v>
      </c>
      <c r="K230" s="190">
        <f t="shared" si="21"/>
        <v>0</v>
      </c>
      <c r="O230" s="78"/>
    </row>
    <row r="231" spans="1:15" ht="30">
      <c r="A231" s="189" t="s">
        <v>491</v>
      </c>
      <c r="B231" s="182">
        <v>250</v>
      </c>
      <c r="C231" s="176" t="s">
        <v>73</v>
      </c>
      <c r="D231" s="176" t="s">
        <v>43</v>
      </c>
      <c r="E231" s="176" t="s">
        <v>136</v>
      </c>
      <c r="F231" s="176" t="str">
        <f>F230</f>
        <v>91 5 05 S2370</v>
      </c>
      <c r="G231" s="176">
        <v>244</v>
      </c>
      <c r="H231" s="254" t="s">
        <v>125</v>
      </c>
      <c r="I231" s="190">
        <f>I233+I234</f>
        <v>254800.02</v>
      </c>
      <c r="J231" s="190">
        <v>0</v>
      </c>
      <c r="K231" s="190">
        <v>0</v>
      </c>
      <c r="M231" s="98"/>
      <c r="O231" s="78"/>
    </row>
    <row r="232" spans="1:11" ht="24.75" customHeight="1" hidden="1">
      <c r="A232" s="193" t="s">
        <v>135</v>
      </c>
      <c r="B232" s="182">
        <v>250</v>
      </c>
      <c r="C232" s="176" t="s">
        <v>73</v>
      </c>
      <c r="D232" s="176" t="s">
        <v>43</v>
      </c>
      <c r="E232" s="176" t="s">
        <v>136</v>
      </c>
      <c r="F232" s="176"/>
      <c r="G232" s="176">
        <v>244</v>
      </c>
      <c r="H232" s="176"/>
      <c r="I232" s="190">
        <v>0</v>
      </c>
      <c r="J232" s="204"/>
      <c r="K232" s="204"/>
    </row>
    <row r="233" spans="1:11" ht="21.75" customHeight="1" hidden="1">
      <c r="A233" s="193" t="s">
        <v>161</v>
      </c>
      <c r="B233" s="194">
        <v>250</v>
      </c>
      <c r="C233" s="195" t="s">
        <v>73</v>
      </c>
      <c r="D233" s="195" t="s">
        <v>43</v>
      </c>
      <c r="E233" s="195" t="s">
        <v>136</v>
      </c>
      <c r="F233" s="195" t="str">
        <f>F231</f>
        <v>91 5 05 S2370</v>
      </c>
      <c r="G233" s="195">
        <v>226</v>
      </c>
      <c r="H233" s="176">
        <v>226</v>
      </c>
      <c r="I233" s="190">
        <v>254800.02</v>
      </c>
      <c r="J233" s="204"/>
      <c r="K233" s="204"/>
    </row>
    <row r="234" spans="1:11" ht="21.75" customHeight="1" hidden="1">
      <c r="A234" s="193" t="s">
        <v>135</v>
      </c>
      <c r="B234" s="194">
        <v>250</v>
      </c>
      <c r="C234" s="195" t="s">
        <v>73</v>
      </c>
      <c r="D234" s="195" t="s">
        <v>43</v>
      </c>
      <c r="E234" s="195" t="s">
        <v>136</v>
      </c>
      <c r="F234" s="195" t="str">
        <f aca="true" t="shared" si="22" ref="F234:F240">F233</f>
        <v>91 5 05 S2370</v>
      </c>
      <c r="G234" s="195">
        <v>340</v>
      </c>
      <c r="H234" s="176">
        <v>340</v>
      </c>
      <c r="I234" s="190">
        <v>0</v>
      </c>
      <c r="J234" s="204"/>
      <c r="K234" s="204"/>
    </row>
    <row r="235" spans="1:11" ht="47.25">
      <c r="A235" s="181" t="s">
        <v>558</v>
      </c>
      <c r="B235" s="182">
        <v>250</v>
      </c>
      <c r="C235" s="176" t="s">
        <v>73</v>
      </c>
      <c r="D235" s="176" t="s">
        <v>43</v>
      </c>
      <c r="E235" s="176" t="s">
        <v>136</v>
      </c>
      <c r="F235" s="176" t="str">
        <f t="shared" si="22"/>
        <v>91 5 05 S2370</v>
      </c>
      <c r="G235" s="192"/>
      <c r="H235" s="254" t="s">
        <v>125</v>
      </c>
      <c r="I235" s="188">
        <f aca="true" t="shared" si="23" ref="I235:K236">I236</f>
        <v>7907.98</v>
      </c>
      <c r="J235" s="188">
        <f t="shared" si="23"/>
        <v>0</v>
      </c>
      <c r="K235" s="188">
        <f t="shared" si="23"/>
        <v>0</v>
      </c>
    </row>
    <row r="236" spans="1:15" ht="42" customHeight="1">
      <c r="A236" s="189" t="s">
        <v>153</v>
      </c>
      <c r="B236" s="182">
        <v>250</v>
      </c>
      <c r="C236" s="176" t="s">
        <v>73</v>
      </c>
      <c r="D236" s="176" t="s">
        <v>43</v>
      </c>
      <c r="E236" s="176" t="s">
        <v>136</v>
      </c>
      <c r="F236" s="176" t="str">
        <f t="shared" si="22"/>
        <v>91 5 05 S2370</v>
      </c>
      <c r="G236" s="192" t="s">
        <v>127</v>
      </c>
      <c r="H236" s="254" t="s">
        <v>125</v>
      </c>
      <c r="I236" s="200">
        <f t="shared" si="23"/>
        <v>7907.98</v>
      </c>
      <c r="J236" s="200">
        <f t="shared" si="23"/>
        <v>0</v>
      </c>
      <c r="K236" s="200">
        <f t="shared" si="23"/>
        <v>0</v>
      </c>
      <c r="O236" s="78"/>
    </row>
    <row r="237" spans="1:15" ht="32.25" customHeight="1">
      <c r="A237" s="189" t="s">
        <v>248</v>
      </c>
      <c r="B237" s="182">
        <v>250</v>
      </c>
      <c r="C237" s="176" t="s">
        <v>73</v>
      </c>
      <c r="D237" s="176" t="s">
        <v>43</v>
      </c>
      <c r="E237" s="176" t="s">
        <v>136</v>
      </c>
      <c r="F237" s="176" t="str">
        <f t="shared" si="22"/>
        <v>91 5 05 S2370</v>
      </c>
      <c r="G237" s="191" t="s">
        <v>249</v>
      </c>
      <c r="H237" s="254" t="s">
        <v>125</v>
      </c>
      <c r="I237" s="200">
        <f>I238</f>
        <v>7907.98</v>
      </c>
      <c r="J237" s="200">
        <f>J238</f>
        <v>0</v>
      </c>
      <c r="K237" s="200">
        <f>K238</f>
        <v>0</v>
      </c>
      <c r="O237" s="78"/>
    </row>
    <row r="238" spans="1:11" ht="31.5" customHeight="1">
      <c r="A238" s="189" t="s">
        <v>491</v>
      </c>
      <c r="B238" s="182">
        <v>250</v>
      </c>
      <c r="C238" s="176" t="s">
        <v>73</v>
      </c>
      <c r="D238" s="176" t="s">
        <v>43</v>
      </c>
      <c r="E238" s="176" t="s">
        <v>136</v>
      </c>
      <c r="F238" s="176" t="str">
        <f t="shared" si="22"/>
        <v>91 5 05 S2370</v>
      </c>
      <c r="G238" s="191" t="s">
        <v>179</v>
      </c>
      <c r="H238" s="254" t="s">
        <v>125</v>
      </c>
      <c r="I238" s="200">
        <f>I239+I240</f>
        <v>7907.98</v>
      </c>
      <c r="J238" s="200">
        <v>0</v>
      </c>
      <c r="K238" s="200">
        <v>0</v>
      </c>
    </row>
    <row r="239" spans="1:11" ht="15.75" hidden="1">
      <c r="A239" s="193" t="s">
        <v>161</v>
      </c>
      <c r="B239" s="194">
        <v>250</v>
      </c>
      <c r="C239" s="195" t="s">
        <v>73</v>
      </c>
      <c r="D239" s="195" t="s">
        <v>43</v>
      </c>
      <c r="E239" s="195" t="s">
        <v>136</v>
      </c>
      <c r="F239" s="195" t="str">
        <f t="shared" si="22"/>
        <v>91 5 05 S2370</v>
      </c>
      <c r="G239" s="228" t="s">
        <v>157</v>
      </c>
      <c r="H239" s="254" t="s">
        <v>125</v>
      </c>
      <c r="I239" s="200">
        <v>7907.98</v>
      </c>
      <c r="J239" s="200">
        <v>0</v>
      </c>
      <c r="K239" s="200">
        <v>0</v>
      </c>
    </row>
    <row r="240" spans="1:11" ht="36" customHeight="1" hidden="1">
      <c r="A240" s="193" t="s">
        <v>135</v>
      </c>
      <c r="B240" s="194">
        <v>250</v>
      </c>
      <c r="C240" s="195" t="s">
        <v>73</v>
      </c>
      <c r="D240" s="195" t="s">
        <v>43</v>
      </c>
      <c r="E240" s="195" t="s">
        <v>136</v>
      </c>
      <c r="F240" s="195" t="str">
        <f t="shared" si="22"/>
        <v>91 5 05 S2370</v>
      </c>
      <c r="G240" s="228" t="s">
        <v>159</v>
      </c>
      <c r="H240" s="191" t="s">
        <v>128</v>
      </c>
      <c r="I240" s="200">
        <v>0</v>
      </c>
      <c r="J240" s="204">
        <v>0</v>
      </c>
      <c r="K240" s="204">
        <v>0</v>
      </c>
    </row>
    <row r="241" spans="1:11" ht="38.25" customHeight="1" hidden="1">
      <c r="A241" s="181" t="s">
        <v>329</v>
      </c>
      <c r="B241" s="182">
        <v>250</v>
      </c>
      <c r="C241" s="182" t="s">
        <v>73</v>
      </c>
      <c r="D241" s="182" t="s">
        <v>43</v>
      </c>
      <c r="E241" s="187"/>
      <c r="F241" s="187" t="s">
        <v>445</v>
      </c>
      <c r="G241" s="192"/>
      <c r="H241" s="192"/>
      <c r="I241" s="188">
        <f>I243</f>
        <v>0</v>
      </c>
      <c r="J241" s="185">
        <f>J243</f>
        <v>0</v>
      </c>
      <c r="K241" s="185">
        <f>K243</f>
        <v>0</v>
      </c>
    </row>
    <row r="242" spans="1:11" ht="36" customHeight="1" hidden="1">
      <c r="A242" s="267" t="s">
        <v>417</v>
      </c>
      <c r="B242" s="182"/>
      <c r="C242" s="182"/>
      <c r="D242" s="182"/>
      <c r="E242" s="187"/>
      <c r="F242" s="187" t="s">
        <v>426</v>
      </c>
      <c r="G242" s="192"/>
      <c r="H242" s="192"/>
      <c r="I242" s="188"/>
      <c r="J242" s="185"/>
      <c r="K242" s="185"/>
    </row>
    <row r="243" spans="1:11" ht="36" customHeight="1" hidden="1">
      <c r="A243" s="189" t="s">
        <v>158</v>
      </c>
      <c r="B243" s="182">
        <v>250</v>
      </c>
      <c r="C243" s="176" t="s">
        <v>73</v>
      </c>
      <c r="D243" s="176" t="s">
        <v>43</v>
      </c>
      <c r="E243" s="199"/>
      <c r="F243" s="199" t="str">
        <f>F242</f>
        <v>79 5 03 90140</v>
      </c>
      <c r="G243" s="192" t="s">
        <v>127</v>
      </c>
      <c r="H243" s="191"/>
      <c r="I243" s="200">
        <f aca="true" t="shared" si="24" ref="I243:K245">I244</f>
        <v>0</v>
      </c>
      <c r="J243" s="204">
        <f t="shared" si="24"/>
        <v>0</v>
      </c>
      <c r="K243" s="204">
        <f t="shared" si="24"/>
        <v>0</v>
      </c>
    </row>
    <row r="244" spans="1:11" ht="36" customHeight="1" hidden="1">
      <c r="A244" s="189" t="s">
        <v>248</v>
      </c>
      <c r="B244" s="182">
        <v>250</v>
      </c>
      <c r="C244" s="176" t="s">
        <v>73</v>
      </c>
      <c r="D244" s="176" t="s">
        <v>43</v>
      </c>
      <c r="E244" s="199"/>
      <c r="F244" s="199" t="str">
        <f>F243</f>
        <v>79 5 03 90140</v>
      </c>
      <c r="G244" s="191" t="s">
        <v>249</v>
      </c>
      <c r="H244" s="191"/>
      <c r="I244" s="200">
        <f t="shared" si="24"/>
        <v>0</v>
      </c>
      <c r="J244" s="204">
        <f t="shared" si="24"/>
        <v>0</v>
      </c>
      <c r="K244" s="204">
        <f t="shared" si="24"/>
        <v>0</v>
      </c>
    </row>
    <row r="245" spans="1:11" ht="36" customHeight="1" hidden="1">
      <c r="A245" s="189" t="s">
        <v>160</v>
      </c>
      <c r="B245" s="182">
        <v>250</v>
      </c>
      <c r="C245" s="176" t="s">
        <v>73</v>
      </c>
      <c r="D245" s="176" t="s">
        <v>43</v>
      </c>
      <c r="E245" s="199"/>
      <c r="F245" s="199" t="str">
        <f>F244</f>
        <v>79 5 03 90140</v>
      </c>
      <c r="G245" s="191" t="s">
        <v>179</v>
      </c>
      <c r="H245" s="191"/>
      <c r="I245" s="200">
        <f t="shared" si="24"/>
        <v>0</v>
      </c>
      <c r="J245" s="204">
        <f t="shared" si="24"/>
        <v>0</v>
      </c>
      <c r="K245" s="204">
        <f t="shared" si="24"/>
        <v>0</v>
      </c>
    </row>
    <row r="246" spans="1:11" ht="36" customHeight="1" hidden="1">
      <c r="A246" s="193" t="s">
        <v>161</v>
      </c>
      <c r="B246" s="194">
        <v>250</v>
      </c>
      <c r="C246" s="195" t="s">
        <v>73</v>
      </c>
      <c r="D246" s="195" t="s">
        <v>43</v>
      </c>
      <c r="E246" s="268"/>
      <c r="F246" s="268" t="s">
        <v>317</v>
      </c>
      <c r="G246" s="228" t="s">
        <v>157</v>
      </c>
      <c r="H246" s="191"/>
      <c r="I246" s="200">
        <v>0</v>
      </c>
      <c r="J246" s="204">
        <v>0</v>
      </c>
      <c r="K246" s="204">
        <v>0</v>
      </c>
    </row>
    <row r="247" spans="1:11" ht="36" customHeight="1" hidden="1">
      <c r="A247" s="181" t="s">
        <v>552</v>
      </c>
      <c r="B247" s="182">
        <v>250</v>
      </c>
      <c r="C247" s="182" t="s">
        <v>73</v>
      </c>
      <c r="D247" s="182" t="s">
        <v>43</v>
      </c>
      <c r="E247" s="187"/>
      <c r="F247" s="187" t="s">
        <v>448</v>
      </c>
      <c r="G247" s="192"/>
      <c r="H247" s="192"/>
      <c r="I247" s="188">
        <f aca="true" t="shared" si="25" ref="I247:K249">I248</f>
        <v>0</v>
      </c>
      <c r="J247" s="185">
        <f t="shared" si="25"/>
        <v>0</v>
      </c>
      <c r="K247" s="185">
        <f t="shared" si="25"/>
        <v>0</v>
      </c>
    </row>
    <row r="248" spans="1:11" ht="36" customHeight="1" hidden="1">
      <c r="A248" s="189" t="str">
        <f>A243</f>
        <v>Закупка товаров, работ,услуг в целях формирования муниципального материального резерва</v>
      </c>
      <c r="B248" s="182">
        <v>250</v>
      </c>
      <c r="C248" s="176" t="s">
        <v>73</v>
      </c>
      <c r="D248" s="176" t="s">
        <v>43</v>
      </c>
      <c r="E248" s="199"/>
      <c r="F248" s="199" t="str">
        <f>F247</f>
        <v>79 5 F2 55551</v>
      </c>
      <c r="G248" s="192" t="s">
        <v>127</v>
      </c>
      <c r="H248" s="191"/>
      <c r="I248" s="200">
        <f t="shared" si="25"/>
        <v>0</v>
      </c>
      <c r="J248" s="204">
        <f t="shared" si="25"/>
        <v>0</v>
      </c>
      <c r="K248" s="204">
        <f t="shared" si="25"/>
        <v>0</v>
      </c>
    </row>
    <row r="249" spans="1:11" ht="36" customHeight="1" hidden="1">
      <c r="A249" s="189" t="str">
        <f>A244</f>
        <v>Иные закупки товаров,работ и услуг для муниципальных нужд</v>
      </c>
      <c r="B249" s="182">
        <v>250</v>
      </c>
      <c r="C249" s="176" t="s">
        <v>73</v>
      </c>
      <c r="D249" s="176" t="s">
        <v>43</v>
      </c>
      <c r="E249" s="199"/>
      <c r="F249" s="199" t="str">
        <f>F248</f>
        <v>79 5 F2 55551</v>
      </c>
      <c r="G249" s="191" t="s">
        <v>249</v>
      </c>
      <c r="H249" s="191"/>
      <c r="I249" s="200">
        <f t="shared" si="25"/>
        <v>0</v>
      </c>
      <c r="J249" s="204">
        <f t="shared" si="25"/>
        <v>0</v>
      </c>
      <c r="K249" s="204">
        <f t="shared" si="25"/>
        <v>0</v>
      </c>
    </row>
    <row r="250" spans="1:11" ht="36" customHeight="1" hidden="1">
      <c r="A250" s="189" t="str">
        <f>A245</f>
        <v>Прочая закупка товаров,работ,услуг для муниципальных нужд</v>
      </c>
      <c r="B250" s="182">
        <f>B249</f>
        <v>250</v>
      </c>
      <c r="C250" s="176" t="str">
        <f>C249</f>
        <v>О5</v>
      </c>
      <c r="D250" s="176" t="str">
        <f>D249</f>
        <v>О3</v>
      </c>
      <c r="E250" s="199"/>
      <c r="F250" s="199" t="str">
        <f>F249</f>
        <v>79 5 F2 55551</v>
      </c>
      <c r="G250" s="191" t="s">
        <v>179</v>
      </c>
      <c r="H250" s="191"/>
      <c r="I250" s="200">
        <f>I251+I252+I253</f>
        <v>0</v>
      </c>
      <c r="J250" s="204">
        <f>J251+J252+J253</f>
        <v>0</v>
      </c>
      <c r="K250" s="204">
        <f>K251+K252+K253</f>
        <v>0</v>
      </c>
    </row>
    <row r="251" spans="1:11" ht="36" customHeight="1" hidden="1">
      <c r="A251" s="193" t="str">
        <f>A223</f>
        <v>Прочие работы, услуги</v>
      </c>
      <c r="B251" s="194">
        <f aca="true" t="shared" si="26" ref="B251:D252">B252</f>
        <v>250</v>
      </c>
      <c r="C251" s="195" t="str">
        <f t="shared" si="26"/>
        <v>О5</v>
      </c>
      <c r="D251" s="195" t="str">
        <f t="shared" si="26"/>
        <v>О3</v>
      </c>
      <c r="E251" s="268"/>
      <c r="F251" s="268" t="str">
        <f>F252</f>
        <v>79 5 F2 55551</v>
      </c>
      <c r="G251" s="228" t="s">
        <v>157</v>
      </c>
      <c r="H251" s="191"/>
      <c r="I251" s="200">
        <v>0</v>
      </c>
      <c r="J251" s="204">
        <v>0</v>
      </c>
      <c r="K251" s="204">
        <v>0</v>
      </c>
    </row>
    <row r="252" spans="1:11" ht="36" customHeight="1" hidden="1">
      <c r="A252" s="193" t="str">
        <f>A224</f>
        <v>Увеличение стоимости основных средств</v>
      </c>
      <c r="B252" s="194">
        <f t="shared" si="26"/>
        <v>250</v>
      </c>
      <c r="C252" s="195" t="str">
        <f t="shared" si="26"/>
        <v>О5</v>
      </c>
      <c r="D252" s="195" t="str">
        <f t="shared" si="26"/>
        <v>О3</v>
      </c>
      <c r="E252" s="268"/>
      <c r="F252" s="268" t="str">
        <f>F253</f>
        <v>79 5 F2 55551</v>
      </c>
      <c r="G252" s="228" t="s">
        <v>380</v>
      </c>
      <c r="H252" s="191"/>
      <c r="I252" s="200">
        <v>0</v>
      </c>
      <c r="J252" s="204">
        <v>0</v>
      </c>
      <c r="K252" s="204">
        <v>0</v>
      </c>
    </row>
    <row r="253" spans="1:11" ht="36" customHeight="1" hidden="1">
      <c r="A253" s="193" t="str">
        <f>A240</f>
        <v>Увеличение стоимости материальных запасов </v>
      </c>
      <c r="B253" s="194">
        <f>B250</f>
        <v>250</v>
      </c>
      <c r="C253" s="195" t="str">
        <f>C250</f>
        <v>О5</v>
      </c>
      <c r="D253" s="195" t="str">
        <f>D250</f>
        <v>О3</v>
      </c>
      <c r="E253" s="268"/>
      <c r="F253" s="268" t="str">
        <f>F250</f>
        <v>79 5 F2 55551</v>
      </c>
      <c r="G253" s="228" t="s">
        <v>159</v>
      </c>
      <c r="H253" s="191"/>
      <c r="I253" s="200">
        <v>0</v>
      </c>
      <c r="J253" s="204">
        <v>0</v>
      </c>
      <c r="K253" s="204">
        <v>0</v>
      </c>
    </row>
    <row r="254" spans="1:13" ht="63" hidden="1">
      <c r="A254" s="181" t="s">
        <v>381</v>
      </c>
      <c r="B254" s="182">
        <v>250</v>
      </c>
      <c r="C254" s="182" t="s">
        <v>73</v>
      </c>
      <c r="D254" s="182" t="s">
        <v>43</v>
      </c>
      <c r="E254" s="187"/>
      <c r="F254" s="187" t="s">
        <v>448</v>
      </c>
      <c r="G254" s="192"/>
      <c r="H254" s="192"/>
      <c r="I254" s="188">
        <f aca="true" t="shared" si="27" ref="I254:K256">I255</f>
        <v>0</v>
      </c>
      <c r="J254" s="185">
        <f t="shared" si="27"/>
        <v>0</v>
      </c>
      <c r="K254" s="185">
        <f t="shared" si="27"/>
        <v>0</v>
      </c>
      <c r="M254" s="98"/>
    </row>
    <row r="255" spans="1:11" ht="36" customHeight="1" hidden="1">
      <c r="A255" s="189" t="str">
        <f aca="true" t="shared" si="28" ref="A255:A260">A248</f>
        <v>Закупка товаров, работ,услуг в целях формирования муниципального материального резерва</v>
      </c>
      <c r="B255" s="182">
        <v>250</v>
      </c>
      <c r="C255" s="176" t="s">
        <v>73</v>
      </c>
      <c r="D255" s="176" t="s">
        <v>43</v>
      </c>
      <c r="E255" s="199"/>
      <c r="F255" s="199" t="str">
        <f>F254</f>
        <v>79 5 F2 55551</v>
      </c>
      <c r="G255" s="192" t="s">
        <v>127</v>
      </c>
      <c r="H255" s="191"/>
      <c r="I255" s="200">
        <f t="shared" si="27"/>
        <v>0</v>
      </c>
      <c r="J255" s="204">
        <f t="shared" si="27"/>
        <v>0</v>
      </c>
      <c r="K255" s="204">
        <f t="shared" si="27"/>
        <v>0</v>
      </c>
    </row>
    <row r="256" spans="1:11" ht="36" customHeight="1" hidden="1">
      <c r="A256" s="189" t="str">
        <f t="shared" si="28"/>
        <v>Иные закупки товаров,работ и услуг для муниципальных нужд</v>
      </c>
      <c r="B256" s="182">
        <v>250</v>
      </c>
      <c r="C256" s="176" t="s">
        <v>73</v>
      </c>
      <c r="D256" s="176" t="s">
        <v>43</v>
      </c>
      <c r="E256" s="199"/>
      <c r="F256" s="199" t="str">
        <f>F255</f>
        <v>79 5 F2 55551</v>
      </c>
      <c r="G256" s="191" t="s">
        <v>249</v>
      </c>
      <c r="H256" s="191"/>
      <c r="I256" s="200">
        <f t="shared" si="27"/>
        <v>0</v>
      </c>
      <c r="J256" s="204">
        <f t="shared" si="27"/>
        <v>0</v>
      </c>
      <c r="K256" s="204">
        <f t="shared" si="27"/>
        <v>0</v>
      </c>
    </row>
    <row r="257" spans="1:11" ht="36" customHeight="1" hidden="1">
      <c r="A257" s="189" t="str">
        <f t="shared" si="28"/>
        <v>Прочая закупка товаров,работ,услуг для муниципальных нужд</v>
      </c>
      <c r="B257" s="182">
        <f>B256</f>
        <v>250</v>
      </c>
      <c r="C257" s="176" t="str">
        <f>C256</f>
        <v>О5</v>
      </c>
      <c r="D257" s="176" t="str">
        <f>D256</f>
        <v>О3</v>
      </c>
      <c r="E257" s="199"/>
      <c r="F257" s="199" t="str">
        <f>F256</f>
        <v>79 5 F2 55551</v>
      </c>
      <c r="G257" s="191" t="s">
        <v>179</v>
      </c>
      <c r="H257" s="191"/>
      <c r="I257" s="200">
        <f>I258+I259+I260</f>
        <v>0</v>
      </c>
      <c r="J257" s="204">
        <f>J258+J259+J260</f>
        <v>0</v>
      </c>
      <c r="K257" s="204">
        <f>K258+K259+K260</f>
        <v>0</v>
      </c>
    </row>
    <row r="258" spans="1:11" ht="36" customHeight="1" hidden="1">
      <c r="A258" s="193" t="str">
        <f t="shared" si="28"/>
        <v>Прочие работы, услуги</v>
      </c>
      <c r="B258" s="194">
        <f aca="true" t="shared" si="29" ref="B258:D259">B259</f>
        <v>250</v>
      </c>
      <c r="C258" s="195" t="str">
        <f t="shared" si="29"/>
        <v>О5</v>
      </c>
      <c r="D258" s="195" t="str">
        <f t="shared" si="29"/>
        <v>О3</v>
      </c>
      <c r="E258" s="268"/>
      <c r="F258" s="268" t="str">
        <f>F259</f>
        <v>79 5 F2 55551</v>
      </c>
      <c r="G258" s="228" t="s">
        <v>157</v>
      </c>
      <c r="H258" s="191"/>
      <c r="I258" s="200">
        <v>0</v>
      </c>
      <c r="J258" s="204">
        <v>0</v>
      </c>
      <c r="K258" s="204">
        <v>0</v>
      </c>
    </row>
    <row r="259" spans="1:11" ht="36" customHeight="1" hidden="1">
      <c r="A259" s="193" t="str">
        <f t="shared" si="28"/>
        <v>Увеличение стоимости основных средств</v>
      </c>
      <c r="B259" s="194">
        <f t="shared" si="29"/>
        <v>250</v>
      </c>
      <c r="C259" s="195" t="str">
        <f t="shared" si="29"/>
        <v>О5</v>
      </c>
      <c r="D259" s="195" t="str">
        <f t="shared" si="29"/>
        <v>О3</v>
      </c>
      <c r="E259" s="268"/>
      <c r="F259" s="268" t="str">
        <f>F260</f>
        <v>79 5 F2 55551</v>
      </c>
      <c r="G259" s="228" t="s">
        <v>380</v>
      </c>
      <c r="H259" s="191"/>
      <c r="I259" s="200">
        <v>0</v>
      </c>
      <c r="J259" s="204">
        <v>0</v>
      </c>
      <c r="K259" s="204">
        <v>0</v>
      </c>
    </row>
    <row r="260" spans="1:11" ht="36" customHeight="1" hidden="1">
      <c r="A260" s="193" t="str">
        <f t="shared" si="28"/>
        <v>Увеличение стоимости материальных запасов </v>
      </c>
      <c r="B260" s="194">
        <f>B257</f>
        <v>250</v>
      </c>
      <c r="C260" s="195" t="str">
        <f>C257</f>
        <v>О5</v>
      </c>
      <c r="D260" s="195" t="str">
        <f>D257</f>
        <v>О3</v>
      </c>
      <c r="E260" s="268"/>
      <c r="F260" s="268" t="str">
        <f>F257</f>
        <v>79 5 F2 55551</v>
      </c>
      <c r="G260" s="228" t="s">
        <v>159</v>
      </c>
      <c r="H260" s="191"/>
      <c r="I260" s="200">
        <v>0</v>
      </c>
      <c r="J260" s="204">
        <v>0</v>
      </c>
      <c r="K260" s="204">
        <v>0</v>
      </c>
    </row>
    <row r="261" spans="1:11" ht="24" customHeight="1">
      <c r="A261" s="180" t="s">
        <v>551</v>
      </c>
      <c r="B261" s="186">
        <v>250</v>
      </c>
      <c r="C261" s="183">
        <v>10</v>
      </c>
      <c r="D261" s="229" t="s">
        <v>123</v>
      </c>
      <c r="E261" s="183"/>
      <c r="F261" s="183"/>
      <c r="G261" s="261"/>
      <c r="H261" s="229"/>
      <c r="I261" s="200">
        <f aca="true" t="shared" si="30" ref="I261:K262">SUM(I262)</f>
        <v>92951</v>
      </c>
      <c r="J261" s="201">
        <f t="shared" si="30"/>
        <v>177048</v>
      </c>
      <c r="K261" s="201">
        <f t="shared" si="30"/>
        <v>177048</v>
      </c>
    </row>
    <row r="262" spans="1:11" ht="24.75" customHeight="1">
      <c r="A262" s="269" t="s">
        <v>489</v>
      </c>
      <c r="B262" s="182">
        <v>250</v>
      </c>
      <c r="C262" s="176">
        <v>10</v>
      </c>
      <c r="D262" s="191" t="s">
        <v>126</v>
      </c>
      <c r="E262" s="199"/>
      <c r="F262" s="199" t="s">
        <v>559</v>
      </c>
      <c r="G262" s="264" t="s">
        <v>125</v>
      </c>
      <c r="H262" s="191"/>
      <c r="I262" s="200">
        <f t="shared" si="30"/>
        <v>92951</v>
      </c>
      <c r="J262" s="200">
        <f t="shared" si="30"/>
        <v>177048</v>
      </c>
      <c r="K262" s="200">
        <f t="shared" si="30"/>
        <v>177048</v>
      </c>
    </row>
    <row r="263" spans="1:11" ht="29.25" customHeight="1">
      <c r="A263" s="270" t="s">
        <v>486</v>
      </c>
      <c r="B263" s="182">
        <v>250</v>
      </c>
      <c r="C263" s="176">
        <v>10</v>
      </c>
      <c r="D263" s="191" t="s">
        <v>126</v>
      </c>
      <c r="E263" s="199"/>
      <c r="F263" s="199" t="s">
        <v>509</v>
      </c>
      <c r="G263" s="191" t="s">
        <v>485</v>
      </c>
      <c r="H263" s="191"/>
      <c r="I263" s="200">
        <f>SUM(I265)</f>
        <v>92951</v>
      </c>
      <c r="J263" s="200">
        <f>SUM(J265)</f>
        <v>177048</v>
      </c>
      <c r="K263" s="200">
        <f>SUM(K265)</f>
        <v>177048</v>
      </c>
    </row>
    <row r="264" spans="1:11" ht="31.5" customHeight="1">
      <c r="A264" s="271" t="s">
        <v>506</v>
      </c>
      <c r="B264" s="182">
        <v>250</v>
      </c>
      <c r="C264" s="176">
        <v>10</v>
      </c>
      <c r="D264" s="191" t="s">
        <v>126</v>
      </c>
      <c r="E264" s="199"/>
      <c r="F264" s="199" t="s">
        <v>509</v>
      </c>
      <c r="G264" s="191" t="s">
        <v>380</v>
      </c>
      <c r="H264" s="191"/>
      <c r="I264" s="200">
        <f aca="true" t="shared" si="31" ref="I264:K265">SUM(I265)</f>
        <v>92951</v>
      </c>
      <c r="J264" s="200">
        <f t="shared" si="31"/>
        <v>177048</v>
      </c>
      <c r="K264" s="200">
        <f t="shared" si="31"/>
        <v>177048</v>
      </c>
    </row>
    <row r="265" spans="1:11" ht="27.75" customHeight="1">
      <c r="A265" s="272" t="s">
        <v>481</v>
      </c>
      <c r="B265" s="182">
        <v>250</v>
      </c>
      <c r="C265" s="176">
        <v>10</v>
      </c>
      <c r="D265" s="191" t="s">
        <v>126</v>
      </c>
      <c r="E265" s="199"/>
      <c r="F265" s="199" t="s">
        <v>509</v>
      </c>
      <c r="G265" s="191" t="s">
        <v>484</v>
      </c>
      <c r="H265" s="191"/>
      <c r="I265" s="200">
        <f t="shared" si="31"/>
        <v>92951</v>
      </c>
      <c r="J265" s="200">
        <f t="shared" si="31"/>
        <v>177048</v>
      </c>
      <c r="K265" s="200">
        <f t="shared" si="31"/>
        <v>177048</v>
      </c>
    </row>
    <row r="266" spans="1:11" ht="42" customHeight="1" hidden="1">
      <c r="A266" s="178" t="s">
        <v>482</v>
      </c>
      <c r="B266" s="182">
        <v>250</v>
      </c>
      <c r="C266" s="176">
        <v>10</v>
      </c>
      <c r="D266" s="191" t="s">
        <v>126</v>
      </c>
      <c r="E266" s="199"/>
      <c r="F266" s="199" t="s">
        <v>483</v>
      </c>
      <c r="G266" s="191" t="s">
        <v>499</v>
      </c>
      <c r="H266" s="191"/>
      <c r="I266" s="200">
        <v>92951</v>
      </c>
      <c r="J266" s="204">
        <v>177048</v>
      </c>
      <c r="K266" s="204">
        <v>177048</v>
      </c>
    </row>
    <row r="267" spans="1:11" ht="24.75" customHeight="1">
      <c r="A267" s="270" t="s">
        <v>492</v>
      </c>
      <c r="B267" s="182">
        <v>250</v>
      </c>
      <c r="C267" s="176">
        <v>11</v>
      </c>
      <c r="D267" s="191" t="s">
        <v>123</v>
      </c>
      <c r="E267" s="199"/>
      <c r="F267" s="199"/>
      <c r="G267" s="191"/>
      <c r="H267" s="191"/>
      <c r="I267" s="201">
        <f>SUM(I268,I295)</f>
        <v>8386400</v>
      </c>
      <c r="J267" s="200">
        <f>SUM(J269,J283)</f>
        <v>623980</v>
      </c>
      <c r="K267" s="200">
        <f>SUM(K269,K283)</f>
        <v>623980</v>
      </c>
    </row>
    <row r="268" spans="1:11" ht="18" customHeight="1">
      <c r="A268" s="273" t="s">
        <v>493</v>
      </c>
      <c r="B268" s="182">
        <v>250</v>
      </c>
      <c r="C268" s="176">
        <v>11</v>
      </c>
      <c r="D268" s="191" t="s">
        <v>126</v>
      </c>
      <c r="E268" s="199"/>
      <c r="F268" s="199"/>
      <c r="G268" s="191"/>
      <c r="H268" s="191"/>
      <c r="I268" s="200">
        <f>SUM(I269,I283)</f>
        <v>8250000</v>
      </c>
      <c r="J268" s="200">
        <f aca="true" t="shared" si="32" ref="I268:K270">J269</f>
        <v>611500</v>
      </c>
      <c r="K268" s="200">
        <f t="shared" si="32"/>
        <v>611500</v>
      </c>
    </row>
    <row r="269" spans="1:11" ht="74.25" customHeight="1">
      <c r="A269" s="274" t="s">
        <v>494</v>
      </c>
      <c r="B269" s="182">
        <v>250</v>
      </c>
      <c r="C269" s="176">
        <v>11</v>
      </c>
      <c r="D269" s="191" t="s">
        <v>126</v>
      </c>
      <c r="E269" s="199"/>
      <c r="F269" s="199" t="s">
        <v>500</v>
      </c>
      <c r="G269" s="191"/>
      <c r="H269" s="191"/>
      <c r="I269" s="200">
        <f t="shared" si="32"/>
        <v>8000000</v>
      </c>
      <c r="J269" s="200">
        <f t="shared" si="32"/>
        <v>611500</v>
      </c>
      <c r="K269" s="200">
        <f t="shared" si="32"/>
        <v>611500</v>
      </c>
    </row>
    <row r="270" spans="1:11" ht="34.5" customHeight="1">
      <c r="A270" s="189" t="s">
        <v>153</v>
      </c>
      <c r="B270" s="182">
        <v>250</v>
      </c>
      <c r="C270" s="176">
        <v>11</v>
      </c>
      <c r="D270" s="191" t="s">
        <v>126</v>
      </c>
      <c r="E270" s="199"/>
      <c r="F270" s="199" t="s">
        <v>500</v>
      </c>
      <c r="G270" s="191" t="s">
        <v>127</v>
      </c>
      <c r="H270" s="191"/>
      <c r="I270" s="200">
        <f t="shared" si="32"/>
        <v>8000000</v>
      </c>
      <c r="J270" s="200">
        <f t="shared" si="32"/>
        <v>611500</v>
      </c>
      <c r="K270" s="200">
        <f t="shared" si="32"/>
        <v>611500</v>
      </c>
    </row>
    <row r="271" spans="1:11" ht="32.25" customHeight="1">
      <c r="A271" s="189" t="s">
        <v>248</v>
      </c>
      <c r="B271" s="182">
        <v>250</v>
      </c>
      <c r="C271" s="176">
        <v>11</v>
      </c>
      <c r="D271" s="191" t="s">
        <v>126</v>
      </c>
      <c r="E271" s="199"/>
      <c r="F271" s="199" t="s">
        <v>500</v>
      </c>
      <c r="G271" s="191" t="s">
        <v>249</v>
      </c>
      <c r="H271" s="191"/>
      <c r="I271" s="200">
        <f>I272</f>
        <v>8000000</v>
      </c>
      <c r="J271" s="200">
        <f>670700-59200</f>
        <v>611500</v>
      </c>
      <c r="K271" s="200">
        <f>670700-59200</f>
        <v>611500</v>
      </c>
    </row>
    <row r="272" spans="1:11" ht="21" customHeight="1" hidden="1">
      <c r="A272" s="189" t="s">
        <v>491</v>
      </c>
      <c r="B272" s="182">
        <v>250</v>
      </c>
      <c r="C272" s="176">
        <v>11</v>
      </c>
      <c r="D272" s="191" t="s">
        <v>175</v>
      </c>
      <c r="E272" s="199"/>
      <c r="F272" s="199" t="s">
        <v>500</v>
      </c>
      <c r="G272" s="191" t="s">
        <v>157</v>
      </c>
      <c r="H272" s="191"/>
      <c r="I272" s="200">
        <v>8000000</v>
      </c>
      <c r="J272" s="204">
        <v>0</v>
      </c>
      <c r="K272" s="204">
        <v>0</v>
      </c>
    </row>
    <row r="273" spans="1:11" ht="34.5" customHeight="1" hidden="1">
      <c r="A273" s="193" t="s">
        <v>135</v>
      </c>
      <c r="B273" s="182">
        <v>250</v>
      </c>
      <c r="C273" s="176">
        <v>11</v>
      </c>
      <c r="D273" s="191" t="s">
        <v>175</v>
      </c>
      <c r="E273" s="199"/>
      <c r="F273" s="199" t="s">
        <v>500</v>
      </c>
      <c r="G273" s="191" t="s">
        <v>159</v>
      </c>
      <c r="H273" s="191"/>
      <c r="I273" s="200"/>
      <c r="J273" s="204"/>
      <c r="K273" s="204"/>
    </row>
    <row r="274" spans="1:11" ht="42.75" customHeight="1">
      <c r="A274" s="189" t="s">
        <v>160</v>
      </c>
      <c r="B274" s="182">
        <v>250</v>
      </c>
      <c r="C274" s="176">
        <v>11</v>
      </c>
      <c r="D274" s="191" t="s">
        <v>126</v>
      </c>
      <c r="E274" s="199"/>
      <c r="F274" s="199" t="s">
        <v>500</v>
      </c>
      <c r="G274" s="191" t="s">
        <v>179</v>
      </c>
      <c r="H274" s="191"/>
      <c r="I274" s="200">
        <f>SUM(I275:I282)</f>
        <v>8000000</v>
      </c>
      <c r="J274" s="200">
        <f>SUM(J277:J280)</f>
        <v>0</v>
      </c>
      <c r="K274" s="200">
        <f>SUM(K277:K280)</f>
        <v>0</v>
      </c>
    </row>
    <row r="275" spans="1:11" ht="15" customHeight="1" hidden="1">
      <c r="A275" s="193" t="s">
        <v>161</v>
      </c>
      <c r="B275" s="182">
        <v>250</v>
      </c>
      <c r="C275" s="176">
        <v>11</v>
      </c>
      <c r="D275" s="191" t="s">
        <v>126</v>
      </c>
      <c r="E275" s="199"/>
      <c r="F275" s="199" t="s">
        <v>500</v>
      </c>
      <c r="G275" s="191" t="s">
        <v>157</v>
      </c>
      <c r="H275" s="191"/>
      <c r="I275" s="200"/>
      <c r="J275" s="200">
        <v>0</v>
      </c>
      <c r="K275" s="200">
        <v>0</v>
      </c>
    </row>
    <row r="276" spans="1:11" ht="24" customHeight="1" hidden="1">
      <c r="A276" s="193" t="s">
        <v>135</v>
      </c>
      <c r="B276" s="182">
        <v>250</v>
      </c>
      <c r="C276" s="176">
        <v>11</v>
      </c>
      <c r="D276" s="191" t="s">
        <v>126</v>
      </c>
      <c r="E276" s="199"/>
      <c r="F276" s="199" t="s">
        <v>500</v>
      </c>
      <c r="G276" s="191" t="s">
        <v>159</v>
      </c>
      <c r="H276" s="191"/>
      <c r="I276" s="200"/>
      <c r="J276" s="204"/>
      <c r="K276" s="204"/>
    </row>
    <row r="277" spans="1:11" ht="24" customHeight="1" hidden="1">
      <c r="A277" s="193"/>
      <c r="B277" s="182"/>
      <c r="C277" s="176"/>
      <c r="D277" s="191"/>
      <c r="E277" s="199"/>
      <c r="F277" s="199"/>
      <c r="G277" s="191"/>
      <c r="H277" s="191"/>
      <c r="I277" s="200"/>
      <c r="J277" s="204"/>
      <c r="K277" s="204"/>
    </row>
    <row r="278" spans="1:11" ht="24" customHeight="1" hidden="1">
      <c r="A278" s="193"/>
      <c r="B278" s="182"/>
      <c r="C278" s="176"/>
      <c r="D278" s="191"/>
      <c r="E278" s="199"/>
      <c r="F278" s="199"/>
      <c r="G278" s="191" t="s">
        <v>495</v>
      </c>
      <c r="H278" s="191"/>
      <c r="I278" s="200"/>
      <c r="J278" s="204"/>
      <c r="K278" s="204"/>
    </row>
    <row r="279" spans="1:11" ht="24" customHeight="1" hidden="1">
      <c r="A279" s="57"/>
      <c r="B279" s="182"/>
      <c r="C279" s="176"/>
      <c r="D279" s="191"/>
      <c r="E279" s="199"/>
      <c r="F279" s="199"/>
      <c r="G279" s="191" t="s">
        <v>496</v>
      </c>
      <c r="H279" s="191"/>
      <c r="I279" s="57"/>
      <c r="J279" s="204">
        <v>0</v>
      </c>
      <c r="K279" s="204">
        <v>0</v>
      </c>
    </row>
    <row r="280" spans="1:11" ht="24" customHeight="1" hidden="1">
      <c r="A280" s="193"/>
      <c r="B280" s="182"/>
      <c r="C280" s="176"/>
      <c r="D280" s="191"/>
      <c r="E280" s="199"/>
      <c r="F280" s="199"/>
      <c r="G280" s="191" t="s">
        <v>157</v>
      </c>
      <c r="H280" s="191"/>
      <c r="I280" s="200">
        <v>4000000</v>
      </c>
      <c r="J280" s="204"/>
      <c r="K280" s="204"/>
    </row>
    <row r="281" spans="1:11" ht="24" customHeight="1" hidden="1">
      <c r="A281" s="193"/>
      <c r="B281" s="182"/>
      <c r="C281" s="176"/>
      <c r="D281" s="191"/>
      <c r="E281" s="199"/>
      <c r="F281" s="199"/>
      <c r="G281" s="191" t="s">
        <v>380</v>
      </c>
      <c r="H281" s="191"/>
      <c r="I281" s="200"/>
      <c r="J281" s="204"/>
      <c r="K281" s="204"/>
    </row>
    <row r="282" spans="1:11" ht="24" customHeight="1" hidden="1">
      <c r="A282" s="193"/>
      <c r="B282" s="182"/>
      <c r="C282" s="176"/>
      <c r="D282" s="191"/>
      <c r="E282" s="199"/>
      <c r="F282" s="199"/>
      <c r="G282" s="191" t="s">
        <v>503</v>
      </c>
      <c r="H282" s="191"/>
      <c r="I282" s="200">
        <v>4000000</v>
      </c>
      <c r="J282" s="204"/>
      <c r="K282" s="204"/>
    </row>
    <row r="283" spans="1:11" ht="71.25" customHeight="1">
      <c r="A283" s="274" t="s">
        <v>543</v>
      </c>
      <c r="B283" s="182">
        <v>250</v>
      </c>
      <c r="C283" s="176">
        <v>11</v>
      </c>
      <c r="D283" s="191" t="s">
        <v>126</v>
      </c>
      <c r="E283" s="199"/>
      <c r="F283" s="199" t="s">
        <v>500</v>
      </c>
      <c r="G283" s="191"/>
      <c r="H283" s="191"/>
      <c r="I283" s="200">
        <f aca="true" t="shared" si="33" ref="I283:K284">SUM(I284)</f>
        <v>250000</v>
      </c>
      <c r="J283" s="200">
        <f t="shared" si="33"/>
        <v>12480</v>
      </c>
      <c r="K283" s="200">
        <f t="shared" si="33"/>
        <v>12480</v>
      </c>
    </row>
    <row r="284" spans="1:11" ht="38.25" customHeight="1">
      <c r="A284" s="189" t="s">
        <v>153</v>
      </c>
      <c r="B284" s="182">
        <v>250</v>
      </c>
      <c r="C284" s="176">
        <v>11</v>
      </c>
      <c r="D284" s="191" t="s">
        <v>126</v>
      </c>
      <c r="E284" s="199"/>
      <c r="F284" s="199" t="s">
        <v>500</v>
      </c>
      <c r="G284" s="191" t="s">
        <v>127</v>
      </c>
      <c r="H284" s="191"/>
      <c r="I284" s="200">
        <f t="shared" si="33"/>
        <v>250000</v>
      </c>
      <c r="J284" s="200">
        <f t="shared" si="33"/>
        <v>12480</v>
      </c>
      <c r="K284" s="200">
        <f t="shared" si="33"/>
        <v>12480</v>
      </c>
    </row>
    <row r="285" spans="1:11" ht="31.5" customHeight="1">
      <c r="A285" s="189" t="s">
        <v>248</v>
      </c>
      <c r="B285" s="182">
        <v>250</v>
      </c>
      <c r="C285" s="176">
        <v>11</v>
      </c>
      <c r="D285" s="191" t="s">
        <v>126</v>
      </c>
      <c r="E285" s="199"/>
      <c r="F285" s="199" t="s">
        <v>500</v>
      </c>
      <c r="G285" s="191" t="s">
        <v>249</v>
      </c>
      <c r="H285" s="191"/>
      <c r="I285" s="200">
        <f>I286</f>
        <v>250000</v>
      </c>
      <c r="J285" s="200">
        <f>J286</f>
        <v>12480</v>
      </c>
      <c r="K285" s="200">
        <f>K286</f>
        <v>12480</v>
      </c>
    </row>
    <row r="286" spans="1:11" ht="27" customHeight="1">
      <c r="A286" s="189" t="s">
        <v>491</v>
      </c>
      <c r="B286" s="182">
        <v>250</v>
      </c>
      <c r="C286" s="176">
        <v>11</v>
      </c>
      <c r="D286" s="191" t="s">
        <v>126</v>
      </c>
      <c r="E286" s="199"/>
      <c r="F286" s="199" t="s">
        <v>500</v>
      </c>
      <c r="G286" s="191" t="s">
        <v>179</v>
      </c>
      <c r="H286" s="191"/>
      <c r="I286" s="200">
        <f>SUM(I287:I294)</f>
        <v>250000</v>
      </c>
      <c r="J286" s="200">
        <f>SUM(J287:J294)</f>
        <v>12480</v>
      </c>
      <c r="K286" s="200">
        <f>SUM(K287:K294)</f>
        <v>12480</v>
      </c>
    </row>
    <row r="287" spans="1:11" ht="24" customHeight="1" hidden="1">
      <c r="A287" s="193" t="s">
        <v>161</v>
      </c>
      <c r="B287" s="182"/>
      <c r="C287" s="176"/>
      <c r="D287" s="191"/>
      <c r="E287" s="199"/>
      <c r="F287" s="199"/>
      <c r="G287" s="191" t="s">
        <v>495</v>
      </c>
      <c r="H287" s="191"/>
      <c r="I287" s="200"/>
      <c r="J287" s="204"/>
      <c r="K287" s="204"/>
    </row>
    <row r="288" spans="1:11" ht="24" customHeight="1" hidden="1">
      <c r="A288" s="193" t="s">
        <v>135</v>
      </c>
      <c r="B288" s="182"/>
      <c r="C288" s="176"/>
      <c r="D288" s="191"/>
      <c r="E288" s="199"/>
      <c r="F288" s="199"/>
      <c r="G288" s="191" t="s">
        <v>496</v>
      </c>
      <c r="H288" s="191"/>
      <c r="I288" s="200"/>
      <c r="J288" s="204"/>
      <c r="K288" s="204"/>
    </row>
    <row r="289" spans="1:11" ht="24" customHeight="1" hidden="1">
      <c r="A289" s="193"/>
      <c r="B289" s="182"/>
      <c r="C289" s="176"/>
      <c r="D289" s="191"/>
      <c r="E289" s="199"/>
      <c r="F289" s="199"/>
      <c r="G289" s="191" t="s">
        <v>157</v>
      </c>
      <c r="H289" s="191"/>
      <c r="I289" s="200">
        <v>125000</v>
      </c>
      <c r="J289" s="204">
        <v>12480</v>
      </c>
      <c r="K289" s="204">
        <v>12480</v>
      </c>
    </row>
    <row r="290" spans="1:11" ht="24" customHeight="1" hidden="1">
      <c r="A290" s="193"/>
      <c r="B290" s="182"/>
      <c r="C290" s="176"/>
      <c r="D290" s="191"/>
      <c r="E290" s="199"/>
      <c r="F290" s="199"/>
      <c r="G290" s="191" t="s">
        <v>159</v>
      </c>
      <c r="H290" s="191"/>
      <c r="I290" s="200"/>
      <c r="J290" s="204"/>
      <c r="K290" s="204"/>
    </row>
    <row r="291" spans="1:11" ht="24" customHeight="1" hidden="1">
      <c r="A291" s="57"/>
      <c r="B291" s="182"/>
      <c r="C291" s="176"/>
      <c r="D291" s="191"/>
      <c r="E291" s="199"/>
      <c r="F291" s="199"/>
      <c r="G291" s="191" t="s">
        <v>501</v>
      </c>
      <c r="H291" s="191"/>
      <c r="I291" s="200"/>
      <c r="J291" s="204"/>
      <c r="K291" s="204"/>
    </row>
    <row r="292" spans="1:11" ht="24" customHeight="1" hidden="1">
      <c r="A292" s="193"/>
      <c r="B292" s="182"/>
      <c r="C292" s="176"/>
      <c r="D292" s="191"/>
      <c r="E292" s="199"/>
      <c r="F292" s="199"/>
      <c r="G292" s="191" t="s">
        <v>502</v>
      </c>
      <c r="H292" s="191"/>
      <c r="I292" s="200"/>
      <c r="J292" s="204"/>
      <c r="K292" s="204"/>
    </row>
    <row r="293" spans="1:13" ht="15.75" hidden="1">
      <c r="A293" s="193"/>
      <c r="B293" s="182"/>
      <c r="C293" s="176"/>
      <c r="D293" s="191"/>
      <c r="E293" s="199"/>
      <c r="F293" s="199"/>
      <c r="G293" s="191" t="s">
        <v>503</v>
      </c>
      <c r="H293" s="254" t="s">
        <v>125</v>
      </c>
      <c r="I293" s="185">
        <v>125000</v>
      </c>
      <c r="J293" s="185">
        <f aca="true" t="shared" si="34" ref="I293:K298">J294</f>
        <v>0</v>
      </c>
      <c r="K293" s="185">
        <f t="shared" si="34"/>
        <v>0</v>
      </c>
      <c r="M293" s="120"/>
    </row>
    <row r="294" spans="1:11" ht="15.75" hidden="1">
      <c r="A294" s="193"/>
      <c r="B294" s="182"/>
      <c r="C294" s="176"/>
      <c r="D294" s="191"/>
      <c r="E294" s="199"/>
      <c r="F294" s="199"/>
      <c r="G294" s="191" t="s">
        <v>504</v>
      </c>
      <c r="H294" s="254" t="s">
        <v>125</v>
      </c>
      <c r="I294" s="200">
        <v>0</v>
      </c>
      <c r="J294" s="200">
        <v>0</v>
      </c>
      <c r="K294" s="200">
        <v>0</v>
      </c>
    </row>
    <row r="295" spans="1:11" ht="18" customHeight="1">
      <c r="A295" s="273" t="s">
        <v>523</v>
      </c>
      <c r="B295" s="182">
        <v>250</v>
      </c>
      <c r="C295" s="176">
        <v>11</v>
      </c>
      <c r="D295" s="191" t="s">
        <v>146</v>
      </c>
      <c r="E295" s="199"/>
      <c r="F295" s="199"/>
      <c r="G295" s="191"/>
      <c r="H295" s="191"/>
      <c r="I295" s="201">
        <f t="shared" si="34"/>
        <v>136400</v>
      </c>
      <c r="J295" s="200">
        <f t="shared" si="34"/>
        <v>0</v>
      </c>
      <c r="K295" s="200">
        <f t="shared" si="34"/>
        <v>0</v>
      </c>
    </row>
    <row r="296" spans="1:11" ht="30">
      <c r="A296" s="274" t="s">
        <v>528</v>
      </c>
      <c r="B296" s="182">
        <v>250</v>
      </c>
      <c r="C296" s="176">
        <v>11</v>
      </c>
      <c r="D296" s="191" t="s">
        <v>146</v>
      </c>
      <c r="E296" s="199"/>
      <c r="F296" s="199" t="s">
        <v>544</v>
      </c>
      <c r="G296" s="191"/>
      <c r="H296" s="191"/>
      <c r="I296" s="200">
        <f t="shared" si="34"/>
        <v>136400</v>
      </c>
      <c r="J296" s="200">
        <f t="shared" si="34"/>
        <v>0</v>
      </c>
      <c r="K296" s="200">
        <f t="shared" si="34"/>
        <v>0</v>
      </c>
    </row>
    <row r="297" spans="1:11" ht="30">
      <c r="A297" s="189" t="s">
        <v>153</v>
      </c>
      <c r="B297" s="182">
        <v>250</v>
      </c>
      <c r="C297" s="176">
        <v>11</v>
      </c>
      <c r="D297" s="191" t="s">
        <v>146</v>
      </c>
      <c r="E297" s="199"/>
      <c r="F297" s="199" t="s">
        <v>544</v>
      </c>
      <c r="G297" s="191" t="s">
        <v>127</v>
      </c>
      <c r="H297" s="191"/>
      <c r="I297" s="200">
        <f t="shared" si="34"/>
        <v>136400</v>
      </c>
      <c r="J297" s="200">
        <f t="shared" si="34"/>
        <v>0</v>
      </c>
      <c r="K297" s="200">
        <f t="shared" si="34"/>
        <v>0</v>
      </c>
    </row>
    <row r="298" spans="1:11" ht="30">
      <c r="A298" s="189" t="s">
        <v>248</v>
      </c>
      <c r="B298" s="182">
        <v>250</v>
      </c>
      <c r="C298" s="176">
        <v>11</v>
      </c>
      <c r="D298" s="191" t="s">
        <v>146</v>
      </c>
      <c r="E298" s="199"/>
      <c r="F298" s="199" t="s">
        <v>544</v>
      </c>
      <c r="G298" s="191" t="s">
        <v>249</v>
      </c>
      <c r="H298" s="191"/>
      <c r="I298" s="200">
        <f>I299</f>
        <v>136400</v>
      </c>
      <c r="J298" s="200">
        <f t="shared" si="34"/>
        <v>0</v>
      </c>
      <c r="K298" s="200">
        <f t="shared" si="34"/>
        <v>0</v>
      </c>
    </row>
    <row r="299" spans="1:11" ht="30">
      <c r="A299" s="189" t="s">
        <v>491</v>
      </c>
      <c r="B299" s="182">
        <v>250</v>
      </c>
      <c r="C299" s="176">
        <v>11</v>
      </c>
      <c r="D299" s="191" t="s">
        <v>146</v>
      </c>
      <c r="E299" s="199"/>
      <c r="F299" s="199" t="s">
        <v>544</v>
      </c>
      <c r="G299" s="191" t="s">
        <v>179</v>
      </c>
      <c r="H299" s="191"/>
      <c r="I299" s="200">
        <f>SUM(I300:I304)</f>
        <v>136400</v>
      </c>
      <c r="J299" s="200">
        <f>SUM(J300:J304)</f>
        <v>0</v>
      </c>
      <c r="K299" s="200">
        <f>SUM(K300:K304)</f>
        <v>0</v>
      </c>
    </row>
    <row r="300" spans="1:11" ht="15.75" hidden="1">
      <c r="A300" s="193" t="s">
        <v>529</v>
      </c>
      <c r="B300" s="182">
        <v>250</v>
      </c>
      <c r="C300" s="176">
        <v>11</v>
      </c>
      <c r="D300" s="191" t="s">
        <v>146</v>
      </c>
      <c r="E300" s="199"/>
      <c r="F300" s="199" t="s">
        <v>524</v>
      </c>
      <c r="G300" s="191" t="s">
        <v>495</v>
      </c>
      <c r="H300" s="191"/>
      <c r="I300" s="200">
        <v>78000</v>
      </c>
      <c r="J300" s="204"/>
      <c r="K300" s="204"/>
    </row>
    <row r="301" spans="1:11" ht="15.75" hidden="1">
      <c r="A301" s="189" t="s">
        <v>526</v>
      </c>
      <c r="B301" s="182">
        <v>250</v>
      </c>
      <c r="C301" s="176">
        <v>11</v>
      </c>
      <c r="D301" s="191" t="s">
        <v>146</v>
      </c>
      <c r="E301" s="199"/>
      <c r="F301" s="199" t="s">
        <v>524</v>
      </c>
      <c r="G301" s="191" t="s">
        <v>525</v>
      </c>
      <c r="H301" s="191"/>
      <c r="I301" s="200">
        <v>12000</v>
      </c>
      <c r="J301" s="200">
        <f>SUM(J304:J307)</f>
        <v>0</v>
      </c>
      <c r="K301" s="200">
        <f>SUM(K304:K307)</f>
        <v>0</v>
      </c>
    </row>
    <row r="302" spans="1:11" ht="15.75" hidden="1">
      <c r="A302" s="193" t="s">
        <v>161</v>
      </c>
      <c r="B302" s="182"/>
      <c r="C302" s="176"/>
      <c r="D302" s="191"/>
      <c r="E302" s="199"/>
      <c r="F302" s="199"/>
      <c r="G302" s="191" t="s">
        <v>157</v>
      </c>
      <c r="H302" s="191"/>
      <c r="I302" s="200">
        <v>46400</v>
      </c>
      <c r="J302" s="204"/>
      <c r="K302" s="204"/>
    </row>
    <row r="303" spans="1:11" ht="30" hidden="1">
      <c r="A303" s="193" t="s">
        <v>527</v>
      </c>
      <c r="B303" s="182"/>
      <c r="C303" s="176"/>
      <c r="D303" s="191"/>
      <c r="E303" s="199"/>
      <c r="F303" s="199"/>
      <c r="G303" s="191" t="s">
        <v>380</v>
      </c>
      <c r="H303" s="191"/>
      <c r="I303" s="200"/>
      <c r="J303" s="204"/>
      <c r="K303" s="204"/>
    </row>
    <row r="304" spans="1:11" ht="30" hidden="1">
      <c r="A304" s="193" t="s">
        <v>135</v>
      </c>
      <c r="B304" s="182"/>
      <c r="C304" s="176"/>
      <c r="D304" s="191"/>
      <c r="E304" s="199"/>
      <c r="F304" s="199"/>
      <c r="G304" s="191" t="s">
        <v>503</v>
      </c>
      <c r="H304" s="191"/>
      <c r="I304" s="200">
        <v>0</v>
      </c>
      <c r="J304" s="204"/>
      <c r="K304" s="204"/>
    </row>
    <row r="305" spans="1:11" ht="15.75" hidden="1">
      <c r="A305" s="193"/>
      <c r="B305" s="182"/>
      <c r="C305" s="176"/>
      <c r="D305" s="191"/>
      <c r="E305" s="199"/>
      <c r="F305" s="199"/>
      <c r="G305" s="191"/>
      <c r="H305" s="191"/>
      <c r="I305" s="200"/>
      <c r="J305" s="204"/>
      <c r="K305" s="204"/>
    </row>
    <row r="306" spans="1:11" ht="15.75" hidden="1">
      <c r="A306" s="57"/>
      <c r="B306" s="182"/>
      <c r="C306" s="176"/>
      <c r="D306" s="191"/>
      <c r="E306" s="199"/>
      <c r="F306" s="199"/>
      <c r="G306" s="191"/>
      <c r="H306" s="191"/>
      <c r="I306" s="200"/>
      <c r="J306" s="204"/>
      <c r="K306" s="204"/>
    </row>
    <row r="307" spans="1:11" ht="15.75" hidden="1">
      <c r="A307" s="193"/>
      <c r="B307" s="182"/>
      <c r="C307" s="176"/>
      <c r="D307" s="191"/>
      <c r="E307" s="199"/>
      <c r="F307" s="199"/>
      <c r="G307" s="191"/>
      <c r="H307" s="191"/>
      <c r="I307" s="200"/>
      <c r="J307" s="204"/>
      <c r="K307" s="204"/>
    </row>
    <row r="308" spans="1:11" ht="30.75" customHeight="1" hidden="1">
      <c r="A308" s="193"/>
      <c r="B308" s="182"/>
      <c r="C308" s="176"/>
      <c r="D308" s="191"/>
      <c r="E308" s="199"/>
      <c r="F308" s="199"/>
      <c r="G308" s="191"/>
      <c r="H308" s="254"/>
      <c r="I308" s="185"/>
      <c r="J308" s="185"/>
      <c r="K308" s="185"/>
    </row>
    <row r="309" spans="1:11" ht="27" customHeight="1">
      <c r="A309" s="245" t="s">
        <v>536</v>
      </c>
      <c r="B309" s="176">
        <v>250</v>
      </c>
      <c r="C309" s="199">
        <v>13</v>
      </c>
      <c r="D309" s="191" t="s">
        <v>126</v>
      </c>
      <c r="E309" s="199" t="s">
        <v>184</v>
      </c>
      <c r="F309" s="199">
        <f>F295</f>
        <v>0</v>
      </c>
      <c r="G309" s="199">
        <v>730</v>
      </c>
      <c r="H309" s="254"/>
      <c r="I309" s="204">
        <f>I310</f>
        <v>0</v>
      </c>
      <c r="J309" s="204">
        <v>0</v>
      </c>
      <c r="K309" s="204">
        <v>0</v>
      </c>
    </row>
    <row r="310" spans="1:11" ht="28.5" customHeight="1" hidden="1">
      <c r="A310" s="275" t="s">
        <v>379</v>
      </c>
      <c r="B310" s="195">
        <v>250</v>
      </c>
      <c r="C310" s="268">
        <v>13</v>
      </c>
      <c r="D310" s="228" t="s">
        <v>126</v>
      </c>
      <c r="E310" s="268" t="s">
        <v>184</v>
      </c>
      <c r="F310" s="268" t="s">
        <v>378</v>
      </c>
      <c r="G310" s="195">
        <v>231</v>
      </c>
      <c r="H310" s="254" t="s">
        <v>125</v>
      </c>
      <c r="I310" s="204">
        <f>0</f>
        <v>0</v>
      </c>
      <c r="J310" s="204">
        <v>0</v>
      </c>
      <c r="K310" s="204">
        <f>1000</f>
        <v>1000</v>
      </c>
    </row>
    <row r="311" spans="1:11" ht="72" customHeight="1">
      <c r="A311" s="219" t="s">
        <v>189</v>
      </c>
      <c r="B311" s="186">
        <v>250</v>
      </c>
      <c r="C311" s="186">
        <v>14</v>
      </c>
      <c r="D311" s="220" t="s">
        <v>123</v>
      </c>
      <c r="E311" s="186" t="s">
        <v>190</v>
      </c>
      <c r="F311" s="186" t="s">
        <v>293</v>
      </c>
      <c r="G311" s="220" t="s">
        <v>125</v>
      </c>
      <c r="H311" s="220" t="s">
        <v>125</v>
      </c>
      <c r="I311" s="188">
        <f aca="true" t="shared" si="35" ref="I311:K312">I312</f>
        <v>27000</v>
      </c>
      <c r="J311" s="188">
        <f t="shared" si="35"/>
        <v>71300</v>
      </c>
      <c r="K311" s="188">
        <f t="shared" si="35"/>
        <v>0</v>
      </c>
    </row>
    <row r="312" spans="1:11" ht="30">
      <c r="A312" s="189" t="s">
        <v>191</v>
      </c>
      <c r="B312" s="176">
        <v>250</v>
      </c>
      <c r="C312" s="199">
        <v>14</v>
      </c>
      <c r="D312" s="191" t="s">
        <v>176</v>
      </c>
      <c r="E312" s="199" t="s">
        <v>124</v>
      </c>
      <c r="F312" s="199" t="s">
        <v>446</v>
      </c>
      <c r="G312" s="191" t="s">
        <v>125</v>
      </c>
      <c r="H312" s="254" t="s">
        <v>125</v>
      </c>
      <c r="I312" s="200">
        <f t="shared" si="35"/>
        <v>27000</v>
      </c>
      <c r="J312" s="204">
        <f t="shared" si="35"/>
        <v>71300</v>
      </c>
      <c r="K312" s="204">
        <f t="shared" si="35"/>
        <v>0</v>
      </c>
    </row>
    <row r="313" spans="1:11" ht="45">
      <c r="A313" s="189" t="s">
        <v>192</v>
      </c>
      <c r="B313" s="176">
        <v>250</v>
      </c>
      <c r="C313" s="199">
        <v>14</v>
      </c>
      <c r="D313" s="191" t="s">
        <v>176</v>
      </c>
      <c r="E313" s="199" t="s">
        <v>193</v>
      </c>
      <c r="F313" s="199" t="s">
        <v>447</v>
      </c>
      <c r="G313" s="191" t="s">
        <v>125</v>
      </c>
      <c r="H313" s="254" t="s">
        <v>125</v>
      </c>
      <c r="I313" s="204">
        <f>I315</f>
        <v>27000</v>
      </c>
      <c r="J313" s="204">
        <f>J314</f>
        <v>71300</v>
      </c>
      <c r="K313" s="204">
        <f>K315</f>
        <v>0</v>
      </c>
    </row>
    <row r="314" spans="1:11" ht="12" customHeight="1">
      <c r="A314" s="189" t="s">
        <v>220</v>
      </c>
      <c r="B314" s="176">
        <v>250</v>
      </c>
      <c r="C314" s="199">
        <v>14</v>
      </c>
      <c r="D314" s="191" t="s">
        <v>176</v>
      </c>
      <c r="E314" s="199" t="s">
        <v>193</v>
      </c>
      <c r="F314" s="199" t="str">
        <f>F313</f>
        <v>91 8 01 90200</v>
      </c>
      <c r="G314" s="191" t="s">
        <v>221</v>
      </c>
      <c r="H314" s="191" t="s">
        <v>196</v>
      </c>
      <c r="I314" s="204">
        <f aca="true" t="shared" si="36" ref="I314:K315">I315</f>
        <v>27000</v>
      </c>
      <c r="J314" s="204">
        <f>J315</f>
        <v>71300</v>
      </c>
      <c r="K314" s="204">
        <f t="shared" si="36"/>
        <v>0</v>
      </c>
    </row>
    <row r="315" spans="1:11" ht="30" hidden="1">
      <c r="A315" s="193" t="s">
        <v>194</v>
      </c>
      <c r="B315" s="176" t="s">
        <v>108</v>
      </c>
      <c r="C315" s="199">
        <v>14</v>
      </c>
      <c r="D315" s="191" t="s">
        <v>176</v>
      </c>
      <c r="E315" s="199" t="s">
        <v>193</v>
      </c>
      <c r="F315" s="199" t="s">
        <v>263</v>
      </c>
      <c r="G315" s="191" t="s">
        <v>195</v>
      </c>
      <c r="H315" s="191"/>
      <c r="I315" s="204">
        <f t="shared" si="36"/>
        <v>27000</v>
      </c>
      <c r="J315" s="204">
        <f>J316</f>
        <v>71300</v>
      </c>
      <c r="K315" s="204">
        <f t="shared" si="36"/>
        <v>0</v>
      </c>
    </row>
    <row r="316" spans="1:11" ht="15">
      <c r="A316" s="177" t="s">
        <v>252</v>
      </c>
      <c r="B316" s="176">
        <v>250</v>
      </c>
      <c r="C316" s="199">
        <v>14</v>
      </c>
      <c r="D316" s="191" t="s">
        <v>176</v>
      </c>
      <c r="E316" s="199" t="s">
        <v>193</v>
      </c>
      <c r="F316" s="199" t="str">
        <f>F313</f>
        <v>91 8 01 90200</v>
      </c>
      <c r="G316" s="191" t="s">
        <v>195</v>
      </c>
      <c r="H316" s="191"/>
      <c r="I316" s="204">
        <v>27000</v>
      </c>
      <c r="J316" s="204">
        <v>71300</v>
      </c>
      <c r="K316" s="204">
        <v>0</v>
      </c>
    </row>
    <row r="317" spans="1:13" ht="15.75">
      <c r="A317" s="181" t="s">
        <v>309</v>
      </c>
      <c r="B317" s="192" t="s">
        <v>310</v>
      </c>
      <c r="C317" s="187" t="s">
        <v>25</v>
      </c>
      <c r="D317" s="254" t="s">
        <v>123</v>
      </c>
      <c r="E317" s="199" t="s">
        <v>124</v>
      </c>
      <c r="F317" s="182" t="s">
        <v>264</v>
      </c>
      <c r="G317" s="187"/>
      <c r="H317" s="254" t="s">
        <v>125</v>
      </c>
      <c r="I317" s="188">
        <f>I319+I365</f>
        <v>4680889.13</v>
      </c>
      <c r="J317" s="188">
        <f>J319+J365</f>
        <v>5188163.82</v>
      </c>
      <c r="K317" s="188">
        <f>K319+K365</f>
        <v>3279131.4882199997</v>
      </c>
      <c r="M317" s="40"/>
    </row>
    <row r="318" spans="1:11" ht="15.75">
      <c r="A318" s="181" t="s">
        <v>228</v>
      </c>
      <c r="B318" s="192" t="s">
        <v>310</v>
      </c>
      <c r="C318" s="187" t="s">
        <v>25</v>
      </c>
      <c r="D318" s="254" t="s">
        <v>123</v>
      </c>
      <c r="E318" s="199" t="s">
        <v>124</v>
      </c>
      <c r="F318" s="182" t="s">
        <v>264</v>
      </c>
      <c r="G318" s="187"/>
      <c r="H318" s="254" t="s">
        <v>125</v>
      </c>
      <c r="I318" s="188">
        <f>I319</f>
        <v>4680889.13</v>
      </c>
      <c r="J318" s="188">
        <f>J319</f>
        <v>5188163.82</v>
      </c>
      <c r="K318" s="188">
        <f>K319</f>
        <v>3279131.4882199997</v>
      </c>
    </row>
    <row r="319" spans="1:14" ht="15.75">
      <c r="A319" s="181" t="s">
        <v>110</v>
      </c>
      <c r="B319" s="192" t="s">
        <v>310</v>
      </c>
      <c r="C319" s="187" t="s">
        <v>25</v>
      </c>
      <c r="D319" s="187" t="s">
        <v>1</v>
      </c>
      <c r="E319" s="192" t="s">
        <v>231</v>
      </c>
      <c r="F319" s="182" t="s">
        <v>264</v>
      </c>
      <c r="G319" s="187"/>
      <c r="H319" s="254" t="s">
        <v>125</v>
      </c>
      <c r="I319" s="258">
        <f>I320+I349+I370+I379</f>
        <v>4680889.13</v>
      </c>
      <c r="J319" s="188">
        <f>J320+J349</f>
        <v>5188163.82</v>
      </c>
      <c r="K319" s="188">
        <f>K320+K349</f>
        <v>3279131.4882199997</v>
      </c>
      <c r="M319" s="55"/>
      <c r="N319" s="55"/>
    </row>
    <row r="320" spans="1:14" ht="31.5">
      <c r="A320" s="181" t="s">
        <v>222</v>
      </c>
      <c r="B320" s="192" t="s">
        <v>310</v>
      </c>
      <c r="C320" s="187" t="s">
        <v>25</v>
      </c>
      <c r="D320" s="187" t="s">
        <v>1</v>
      </c>
      <c r="E320" s="182" t="s">
        <v>93</v>
      </c>
      <c r="F320" s="182" t="s">
        <v>427</v>
      </c>
      <c r="G320" s="187"/>
      <c r="H320" s="254" t="s">
        <v>125</v>
      </c>
      <c r="I320" s="188">
        <f>I321+I326+I346</f>
        <v>4038295.13</v>
      </c>
      <c r="J320" s="188">
        <f>J321+J326+J346+J343</f>
        <v>4545569.82</v>
      </c>
      <c r="K320" s="188">
        <f>K321+K326+K346+K343</f>
        <v>2636537.99822</v>
      </c>
      <c r="M320" s="119"/>
      <c r="N320" s="55"/>
    </row>
    <row r="321" spans="1:13" ht="34.5" customHeight="1">
      <c r="A321" s="189" t="s">
        <v>515</v>
      </c>
      <c r="B321" s="192" t="s">
        <v>310</v>
      </c>
      <c r="C321" s="199" t="s">
        <v>25</v>
      </c>
      <c r="D321" s="199" t="s">
        <v>1</v>
      </c>
      <c r="E321" s="176" t="s">
        <v>93</v>
      </c>
      <c r="F321" s="176" t="s">
        <v>265</v>
      </c>
      <c r="G321" s="187">
        <v>100</v>
      </c>
      <c r="H321" s="199">
        <v>210</v>
      </c>
      <c r="I321" s="190">
        <f>I322</f>
        <v>3114671.63</v>
      </c>
      <c r="J321" s="190">
        <f>J322</f>
        <v>2785912.3200000003</v>
      </c>
      <c r="K321" s="190">
        <f>K322</f>
        <v>2224528.99822</v>
      </c>
      <c r="M321" s="55"/>
    </row>
    <row r="322" spans="1:14" ht="30" customHeight="1">
      <c r="A322" s="189" t="s">
        <v>165</v>
      </c>
      <c r="B322" s="192" t="s">
        <v>310</v>
      </c>
      <c r="C322" s="199" t="s">
        <v>25</v>
      </c>
      <c r="D322" s="199" t="s">
        <v>1</v>
      </c>
      <c r="E322" s="176" t="s">
        <v>93</v>
      </c>
      <c r="F322" s="176" t="s">
        <v>265</v>
      </c>
      <c r="G322" s="199">
        <v>110</v>
      </c>
      <c r="H322" s="199">
        <v>211</v>
      </c>
      <c r="I322" s="190">
        <f>I323+I324</f>
        <v>3114671.63</v>
      </c>
      <c r="J322" s="190">
        <f>J323+J324</f>
        <v>2785912.3200000003</v>
      </c>
      <c r="K322" s="190">
        <f>K323+K324</f>
        <v>2224528.99822</v>
      </c>
      <c r="M322" s="98"/>
      <c r="N322" s="40"/>
    </row>
    <row r="323" spans="1:14" ht="15.75" hidden="1">
      <c r="A323" s="193" t="s">
        <v>10</v>
      </c>
      <c r="B323" s="276" t="s">
        <v>310</v>
      </c>
      <c r="C323" s="268" t="s">
        <v>25</v>
      </c>
      <c r="D323" s="268" t="s">
        <v>1</v>
      </c>
      <c r="E323" s="195" t="s">
        <v>93</v>
      </c>
      <c r="F323" s="195" t="s">
        <v>265</v>
      </c>
      <c r="G323" s="268">
        <v>111</v>
      </c>
      <c r="H323" s="199">
        <v>213</v>
      </c>
      <c r="I323" s="190">
        <v>2269258</v>
      </c>
      <c r="J323" s="204">
        <f>1835838+219585-133422+430129.43-338263.76+102155.65+23695</f>
        <v>2139717.3200000003</v>
      </c>
      <c r="K323" s="204">
        <f>1311313-58431+0.85+455664.76</f>
        <v>1708547.61</v>
      </c>
      <c r="M323" s="98">
        <f>J396</f>
        <v>381240.025</v>
      </c>
      <c r="N323" s="55"/>
    </row>
    <row r="324" spans="1:14" ht="16.5" customHeight="1" hidden="1">
      <c r="A324" s="193" t="s">
        <v>12</v>
      </c>
      <c r="B324" s="276" t="s">
        <v>310</v>
      </c>
      <c r="C324" s="268" t="s">
        <v>25</v>
      </c>
      <c r="D324" s="268" t="s">
        <v>1</v>
      </c>
      <c r="E324" s="195" t="s">
        <v>93</v>
      </c>
      <c r="F324" s="195" t="s">
        <v>265</v>
      </c>
      <c r="G324" s="268">
        <v>119</v>
      </c>
      <c r="H324" s="199"/>
      <c r="I324" s="190">
        <v>845413.63</v>
      </c>
      <c r="J324" s="277">
        <v>646195</v>
      </c>
      <c r="K324" s="277">
        <f>K323*30.2%+0.01</f>
        <v>515981.38822</v>
      </c>
      <c r="M324" s="98">
        <f>M322+M323</f>
        <v>381240.025</v>
      </c>
      <c r="N324" s="55"/>
    </row>
    <row r="325" spans="1:11" ht="36.75" customHeight="1">
      <c r="A325" s="189" t="s">
        <v>223</v>
      </c>
      <c r="B325" s="192" t="s">
        <v>310</v>
      </c>
      <c r="C325" s="199" t="s">
        <v>25</v>
      </c>
      <c r="D325" s="199" t="s">
        <v>1</v>
      </c>
      <c r="E325" s="176" t="s">
        <v>93</v>
      </c>
      <c r="F325" s="176" t="s">
        <v>265</v>
      </c>
      <c r="G325" s="199"/>
      <c r="H325" s="254" t="s">
        <v>125</v>
      </c>
      <c r="I325" s="190">
        <f>I326</f>
        <v>913623.5</v>
      </c>
      <c r="J325" s="190">
        <f aca="true" t="shared" si="37" ref="I325:K326">J326</f>
        <v>515000</v>
      </c>
      <c r="K325" s="190">
        <f t="shared" si="37"/>
        <v>412009</v>
      </c>
    </row>
    <row r="326" spans="1:11" ht="30">
      <c r="A326" s="189" t="s">
        <v>153</v>
      </c>
      <c r="B326" s="192" t="s">
        <v>310</v>
      </c>
      <c r="C326" s="199" t="s">
        <v>25</v>
      </c>
      <c r="D326" s="199" t="s">
        <v>1</v>
      </c>
      <c r="E326" s="176" t="s">
        <v>93</v>
      </c>
      <c r="F326" s="176" t="s">
        <v>265</v>
      </c>
      <c r="G326" s="187">
        <v>200</v>
      </c>
      <c r="H326" s="254" t="s">
        <v>125</v>
      </c>
      <c r="I326" s="200">
        <f t="shared" si="37"/>
        <v>913623.5</v>
      </c>
      <c r="J326" s="190">
        <f t="shared" si="37"/>
        <v>515000</v>
      </c>
      <c r="K326" s="190">
        <f t="shared" si="37"/>
        <v>412009</v>
      </c>
    </row>
    <row r="327" spans="1:11" ht="30">
      <c r="A327" s="189" t="s">
        <v>248</v>
      </c>
      <c r="B327" s="192" t="s">
        <v>310</v>
      </c>
      <c r="C327" s="199" t="s">
        <v>25</v>
      </c>
      <c r="D327" s="199" t="s">
        <v>1</v>
      </c>
      <c r="E327" s="176" t="s">
        <v>93</v>
      </c>
      <c r="F327" s="176" t="s">
        <v>265</v>
      </c>
      <c r="G327" s="199">
        <v>240</v>
      </c>
      <c r="H327" s="254"/>
      <c r="I327" s="190">
        <f>I328+I338</f>
        <v>913623.5</v>
      </c>
      <c r="J327" s="190">
        <f>J328+J338</f>
        <v>515000</v>
      </c>
      <c r="K327" s="190">
        <f>K328+K338</f>
        <v>412009</v>
      </c>
    </row>
    <row r="328" spans="1:14" ht="30" customHeight="1">
      <c r="A328" s="189" t="s">
        <v>491</v>
      </c>
      <c r="B328" s="192" t="s">
        <v>310</v>
      </c>
      <c r="C328" s="199" t="s">
        <v>25</v>
      </c>
      <c r="D328" s="199" t="s">
        <v>1</v>
      </c>
      <c r="E328" s="176" t="s">
        <v>93</v>
      </c>
      <c r="F328" s="176" t="s">
        <v>265</v>
      </c>
      <c r="G328" s="199">
        <v>244</v>
      </c>
      <c r="H328" s="254" t="s">
        <v>125</v>
      </c>
      <c r="I328" s="196">
        <f>SUM(I329:I337)</f>
        <v>668000</v>
      </c>
      <c r="J328" s="190">
        <f>J329+J330+J331+J332+J337</f>
        <v>265000</v>
      </c>
      <c r="K328" s="190">
        <f>K329+K330+K331+K332+K337</f>
        <v>160000</v>
      </c>
      <c r="M328" s="40"/>
      <c r="N328" s="40"/>
    </row>
    <row r="329" spans="1:13" ht="19.5" customHeight="1" hidden="1">
      <c r="A329" s="193" t="s">
        <v>535</v>
      </c>
      <c r="B329" s="276" t="s">
        <v>310</v>
      </c>
      <c r="C329" s="268" t="s">
        <v>25</v>
      </c>
      <c r="D329" s="268" t="s">
        <v>1</v>
      </c>
      <c r="E329" s="195" t="s">
        <v>93</v>
      </c>
      <c r="F329" s="195" t="s">
        <v>266</v>
      </c>
      <c r="G329" s="268">
        <v>222</v>
      </c>
      <c r="H329" s="254"/>
      <c r="I329" s="190">
        <v>0</v>
      </c>
      <c r="J329" s="190">
        <v>0</v>
      </c>
      <c r="K329" s="190">
        <v>0</v>
      </c>
      <c r="M329" s="40"/>
    </row>
    <row r="330" spans="1:11" ht="15.75" hidden="1">
      <c r="A330" s="193" t="s">
        <v>161</v>
      </c>
      <c r="B330" s="276" t="s">
        <v>310</v>
      </c>
      <c r="C330" s="268" t="s">
        <v>25</v>
      </c>
      <c r="D330" s="268" t="s">
        <v>1</v>
      </c>
      <c r="E330" s="195" t="s">
        <v>93</v>
      </c>
      <c r="F330" s="195" t="s">
        <v>266</v>
      </c>
      <c r="G330" s="268">
        <v>226</v>
      </c>
      <c r="H330" s="199">
        <v>226</v>
      </c>
      <c r="I330" s="190">
        <v>556949</v>
      </c>
      <c r="J330" s="204">
        <v>220000</v>
      </c>
      <c r="K330" s="204">
        <v>160000</v>
      </c>
    </row>
    <row r="331" spans="1:11" ht="90" hidden="1">
      <c r="A331" s="278" t="s">
        <v>333</v>
      </c>
      <c r="B331" s="276" t="s">
        <v>310</v>
      </c>
      <c r="C331" s="268" t="s">
        <v>25</v>
      </c>
      <c r="D331" s="268" t="s">
        <v>1</v>
      </c>
      <c r="E331" s="195" t="s">
        <v>93</v>
      </c>
      <c r="F331" s="195" t="s">
        <v>266</v>
      </c>
      <c r="G331" s="268">
        <v>228</v>
      </c>
      <c r="H331" s="199">
        <v>290</v>
      </c>
      <c r="I331" s="279">
        <v>0</v>
      </c>
      <c r="J331" s="204">
        <v>0</v>
      </c>
      <c r="K331" s="204">
        <v>0</v>
      </c>
    </row>
    <row r="332" spans="1:11" ht="33" customHeight="1" hidden="1">
      <c r="A332" s="193" t="s">
        <v>21</v>
      </c>
      <c r="B332" s="276" t="s">
        <v>310</v>
      </c>
      <c r="C332" s="268" t="s">
        <v>25</v>
      </c>
      <c r="D332" s="268" t="s">
        <v>1</v>
      </c>
      <c r="E332" s="195" t="s">
        <v>93</v>
      </c>
      <c r="F332" s="195" t="s">
        <v>266</v>
      </c>
      <c r="G332" s="268">
        <v>310</v>
      </c>
      <c r="H332" s="199">
        <v>340</v>
      </c>
      <c r="I332" s="211">
        <v>0</v>
      </c>
      <c r="J332" s="211">
        <v>0</v>
      </c>
      <c r="K332" s="211">
        <v>0</v>
      </c>
    </row>
    <row r="333" spans="1:14" ht="33" customHeight="1" hidden="1">
      <c r="A333" s="193"/>
      <c r="B333" s="276"/>
      <c r="C333" s="268"/>
      <c r="D333" s="268"/>
      <c r="E333" s="195"/>
      <c r="F333" s="195"/>
      <c r="G333" s="268">
        <v>342</v>
      </c>
      <c r="H333" s="199"/>
      <c r="I333" s="211">
        <f>1600+2980+3415+4978</f>
        <v>12973</v>
      </c>
      <c r="J333" s="211"/>
      <c r="K333" s="211"/>
      <c r="M333" s="98">
        <f>SUM(I333:I335)</f>
        <v>65207</v>
      </c>
      <c r="N333" s="98">
        <f>M333+844</f>
        <v>66051</v>
      </c>
    </row>
    <row r="334" spans="1:11" ht="33" customHeight="1" hidden="1">
      <c r="A334" s="193"/>
      <c r="B334" s="276"/>
      <c r="C334" s="268"/>
      <c r="D334" s="268"/>
      <c r="E334" s="195"/>
      <c r="F334" s="195"/>
      <c r="G334" s="268">
        <v>343</v>
      </c>
      <c r="H334" s="199"/>
      <c r="I334" s="211">
        <f>1200+1192</f>
        <v>2392</v>
      </c>
      <c r="J334" s="211"/>
      <c r="K334" s="211"/>
    </row>
    <row r="335" spans="1:11" ht="33" customHeight="1" hidden="1">
      <c r="A335" s="193"/>
      <c r="B335" s="276"/>
      <c r="C335" s="268"/>
      <c r="D335" s="268"/>
      <c r="E335" s="195"/>
      <c r="F335" s="195"/>
      <c r="G335" s="268">
        <v>349</v>
      </c>
      <c r="H335" s="199"/>
      <c r="I335" s="211">
        <f>28900+12700+1220+7022</f>
        <v>49842</v>
      </c>
      <c r="J335" s="211"/>
      <c r="K335" s="211"/>
    </row>
    <row r="336" spans="1:11" ht="33" customHeight="1" hidden="1">
      <c r="A336" s="193"/>
      <c r="B336" s="276"/>
      <c r="C336" s="268"/>
      <c r="D336" s="268"/>
      <c r="E336" s="195"/>
      <c r="F336" s="195"/>
      <c r="G336" s="268"/>
      <c r="H336" s="199"/>
      <c r="I336" s="211"/>
      <c r="J336" s="211"/>
      <c r="K336" s="211"/>
    </row>
    <row r="337" spans="1:11" ht="30" hidden="1">
      <c r="A337" s="193" t="s">
        <v>135</v>
      </c>
      <c r="B337" s="276" t="s">
        <v>310</v>
      </c>
      <c r="C337" s="268" t="s">
        <v>25</v>
      </c>
      <c r="D337" s="268" t="s">
        <v>1</v>
      </c>
      <c r="E337" s="195" t="s">
        <v>93</v>
      </c>
      <c r="F337" s="195" t="s">
        <v>266</v>
      </c>
      <c r="G337" s="268">
        <v>346</v>
      </c>
      <c r="H337" s="199">
        <v>310</v>
      </c>
      <c r="I337" s="280">
        <f>45000+800+44</f>
        <v>45844</v>
      </c>
      <c r="J337" s="211">
        <v>45000</v>
      </c>
      <c r="K337" s="211">
        <v>0</v>
      </c>
    </row>
    <row r="338" spans="1:11" ht="30">
      <c r="A338" s="189" t="s">
        <v>395</v>
      </c>
      <c r="B338" s="192" t="s">
        <v>310</v>
      </c>
      <c r="C338" s="199" t="s">
        <v>25</v>
      </c>
      <c r="D338" s="199" t="s">
        <v>1</v>
      </c>
      <c r="E338" s="176"/>
      <c r="F338" s="176" t="s">
        <v>414</v>
      </c>
      <c r="G338" s="199">
        <v>247</v>
      </c>
      <c r="H338" s="199"/>
      <c r="I338" s="280">
        <f>150000-36410.5-18000+34+100000+50000</f>
        <v>245623.5</v>
      </c>
      <c r="J338" s="211">
        <f>50000+34251+100000+65749</f>
        <v>250000</v>
      </c>
      <c r="K338" s="211">
        <f>252009</f>
        <v>252009</v>
      </c>
    </row>
    <row r="339" spans="1:11" ht="15.75" hidden="1">
      <c r="A339" s="189"/>
      <c r="B339" s="192"/>
      <c r="C339" s="199"/>
      <c r="D339" s="199"/>
      <c r="E339" s="176"/>
      <c r="F339" s="176"/>
      <c r="G339" s="199"/>
      <c r="H339" s="199"/>
      <c r="I339" s="280"/>
      <c r="J339" s="211"/>
      <c r="K339" s="211"/>
    </row>
    <row r="340" spans="1:11" ht="15.75" hidden="1">
      <c r="A340" s="189"/>
      <c r="B340" s="192"/>
      <c r="C340" s="199"/>
      <c r="D340" s="199"/>
      <c r="E340" s="176"/>
      <c r="F340" s="176"/>
      <c r="G340" s="199"/>
      <c r="H340" s="199"/>
      <c r="I340" s="280"/>
      <c r="J340" s="211"/>
      <c r="K340" s="211"/>
    </row>
    <row r="341" spans="1:11" ht="15.75" hidden="1">
      <c r="A341" s="189"/>
      <c r="B341" s="192"/>
      <c r="C341" s="199"/>
      <c r="D341" s="199"/>
      <c r="E341" s="176"/>
      <c r="F341" s="176"/>
      <c r="G341" s="199"/>
      <c r="H341" s="199"/>
      <c r="I341" s="280"/>
      <c r="J341" s="211"/>
      <c r="K341" s="211"/>
    </row>
    <row r="342" spans="1:11" ht="15.75" hidden="1">
      <c r="A342" s="189"/>
      <c r="B342" s="192"/>
      <c r="C342" s="199"/>
      <c r="D342" s="199"/>
      <c r="E342" s="176"/>
      <c r="F342" s="176"/>
      <c r="G342" s="199"/>
      <c r="H342" s="199"/>
      <c r="I342" s="280"/>
      <c r="J342" s="211"/>
      <c r="K342" s="211"/>
    </row>
    <row r="343" spans="1:11" ht="47.25">
      <c r="A343" s="361" t="s">
        <v>563</v>
      </c>
      <c r="B343" s="192" t="s">
        <v>310</v>
      </c>
      <c r="C343" s="199" t="s">
        <v>25</v>
      </c>
      <c r="D343" s="199" t="s">
        <v>1</v>
      </c>
      <c r="E343" s="176" t="s">
        <v>93</v>
      </c>
      <c r="F343" s="176" t="s">
        <v>265</v>
      </c>
      <c r="G343" s="187">
        <v>400</v>
      </c>
      <c r="H343" s="199"/>
      <c r="I343" s="280">
        <v>0</v>
      </c>
      <c r="J343" s="211">
        <f>SUM(J344)</f>
        <v>1244657.5</v>
      </c>
      <c r="K343" s="211">
        <f>SUM(K344)</f>
        <v>0</v>
      </c>
    </row>
    <row r="344" spans="1:11" ht="15.75">
      <c r="A344" s="362" t="s">
        <v>562</v>
      </c>
      <c r="B344" s="192" t="s">
        <v>310</v>
      </c>
      <c r="C344" s="199" t="s">
        <v>25</v>
      </c>
      <c r="D344" s="199" t="s">
        <v>1</v>
      </c>
      <c r="E344" s="176" t="s">
        <v>93</v>
      </c>
      <c r="F344" s="176" t="s">
        <v>265</v>
      </c>
      <c r="G344" s="199">
        <v>410</v>
      </c>
      <c r="H344" s="199"/>
      <c r="I344" s="280">
        <v>0</v>
      </c>
      <c r="J344" s="211">
        <f>SUM(J345)</f>
        <v>1244657.5</v>
      </c>
      <c r="K344" s="211">
        <f>SUM(K345)</f>
        <v>0</v>
      </c>
    </row>
    <row r="345" spans="1:11" ht="63">
      <c r="A345" s="361" t="s">
        <v>561</v>
      </c>
      <c r="B345" s="192" t="s">
        <v>310</v>
      </c>
      <c r="C345" s="199" t="s">
        <v>25</v>
      </c>
      <c r="D345" s="199" t="s">
        <v>1</v>
      </c>
      <c r="E345" s="176" t="s">
        <v>93</v>
      </c>
      <c r="F345" s="176" t="s">
        <v>265</v>
      </c>
      <c r="G345" s="199">
        <v>414</v>
      </c>
      <c r="H345" s="199"/>
      <c r="I345" s="280">
        <v>0</v>
      </c>
      <c r="J345" s="211">
        <v>1244657.5</v>
      </c>
      <c r="K345" s="211">
        <v>0</v>
      </c>
    </row>
    <row r="346" spans="1:11" ht="33" customHeight="1">
      <c r="A346" s="189" t="s">
        <v>219</v>
      </c>
      <c r="B346" s="192" t="s">
        <v>310</v>
      </c>
      <c r="C346" s="199" t="s">
        <v>25</v>
      </c>
      <c r="D346" s="199" t="s">
        <v>1</v>
      </c>
      <c r="E346" s="176" t="s">
        <v>93</v>
      </c>
      <c r="F346" s="176" t="s">
        <v>265</v>
      </c>
      <c r="G346" s="187">
        <v>800</v>
      </c>
      <c r="H346" s="254" t="s">
        <v>125</v>
      </c>
      <c r="I346" s="279">
        <f aca="true" t="shared" si="38" ref="I346:K347">I347</f>
        <v>10000</v>
      </c>
      <c r="J346" s="279">
        <f t="shared" si="38"/>
        <v>0</v>
      </c>
      <c r="K346" s="190">
        <f t="shared" si="38"/>
        <v>0</v>
      </c>
    </row>
    <row r="347" spans="1:11" ht="30" customHeight="1">
      <c r="A347" s="177" t="s">
        <v>162</v>
      </c>
      <c r="B347" s="192" t="s">
        <v>310</v>
      </c>
      <c r="C347" s="199" t="s">
        <v>25</v>
      </c>
      <c r="D347" s="199" t="s">
        <v>1</v>
      </c>
      <c r="E347" s="176" t="s">
        <v>93</v>
      </c>
      <c r="F347" s="176" t="s">
        <v>265</v>
      </c>
      <c r="G347" s="199">
        <v>850</v>
      </c>
      <c r="H347" s="254"/>
      <c r="I347" s="279">
        <f t="shared" si="38"/>
        <v>10000</v>
      </c>
      <c r="J347" s="190">
        <f t="shared" si="38"/>
        <v>0</v>
      </c>
      <c r="K347" s="190">
        <f t="shared" si="38"/>
        <v>0</v>
      </c>
    </row>
    <row r="348" spans="1:11" ht="34.5" customHeight="1" hidden="1">
      <c r="A348" s="177" t="s">
        <v>267</v>
      </c>
      <c r="B348" s="192" t="s">
        <v>310</v>
      </c>
      <c r="C348" s="199" t="s">
        <v>25</v>
      </c>
      <c r="D348" s="199" t="s">
        <v>1</v>
      </c>
      <c r="E348" s="176" t="s">
        <v>93</v>
      </c>
      <c r="F348" s="176" t="s">
        <v>265</v>
      </c>
      <c r="G348" s="199">
        <v>853</v>
      </c>
      <c r="H348" s="254"/>
      <c r="I348" s="279">
        <v>10000</v>
      </c>
      <c r="J348" s="204">
        <v>0</v>
      </c>
      <c r="K348" s="204">
        <v>0</v>
      </c>
    </row>
    <row r="349" spans="1:13" ht="31.5">
      <c r="A349" s="181" t="s">
        <v>224</v>
      </c>
      <c r="B349" s="192" t="s">
        <v>310</v>
      </c>
      <c r="C349" s="187" t="s">
        <v>25</v>
      </c>
      <c r="D349" s="187" t="s">
        <v>1</v>
      </c>
      <c r="E349" s="182" t="s">
        <v>29</v>
      </c>
      <c r="F349" s="182" t="s">
        <v>268</v>
      </c>
      <c r="G349" s="187"/>
      <c r="H349" s="254" t="s">
        <v>125</v>
      </c>
      <c r="I349" s="188">
        <f>I350+I356</f>
        <v>642594</v>
      </c>
      <c r="J349" s="188">
        <f>J350+J356</f>
        <v>642594</v>
      </c>
      <c r="K349" s="188">
        <f>K350+K356</f>
        <v>642593.49</v>
      </c>
      <c r="M349" s="55"/>
    </row>
    <row r="350" spans="1:11" ht="30">
      <c r="A350" s="189" t="s">
        <v>516</v>
      </c>
      <c r="B350" s="192" t="s">
        <v>310</v>
      </c>
      <c r="C350" s="199" t="s">
        <v>25</v>
      </c>
      <c r="D350" s="199" t="s">
        <v>1</v>
      </c>
      <c r="E350" s="176" t="s">
        <v>96</v>
      </c>
      <c r="F350" s="176" t="s">
        <v>429</v>
      </c>
      <c r="G350" s="199"/>
      <c r="H350" s="254" t="s">
        <v>125</v>
      </c>
      <c r="I350" s="190">
        <f aca="true" t="shared" si="39" ref="I350:K352">I351</f>
        <v>642594</v>
      </c>
      <c r="J350" s="190">
        <f t="shared" si="39"/>
        <v>642594</v>
      </c>
      <c r="K350" s="190">
        <f t="shared" si="39"/>
        <v>642593.49</v>
      </c>
    </row>
    <row r="351" spans="1:13" s="96" customFormat="1" ht="135" hidden="1">
      <c r="A351" s="281" t="s">
        <v>246</v>
      </c>
      <c r="B351" s="215" t="s">
        <v>310</v>
      </c>
      <c r="C351" s="240" t="s">
        <v>25</v>
      </c>
      <c r="D351" s="240" t="s">
        <v>1</v>
      </c>
      <c r="E351" s="240" t="s">
        <v>96</v>
      </c>
      <c r="F351" s="240" t="s">
        <v>269</v>
      </c>
      <c r="G351" s="240"/>
      <c r="H351" s="215"/>
      <c r="I351" s="241">
        <f t="shared" si="39"/>
        <v>642594</v>
      </c>
      <c r="J351" s="241">
        <f t="shared" si="39"/>
        <v>642594</v>
      </c>
      <c r="K351" s="241">
        <f t="shared" si="39"/>
        <v>642593.49</v>
      </c>
      <c r="L351" s="96" t="s">
        <v>428</v>
      </c>
      <c r="M351" s="97"/>
    </row>
    <row r="352" spans="1:13" ht="45">
      <c r="A352" s="189" t="s">
        <v>253</v>
      </c>
      <c r="B352" s="192" t="s">
        <v>310</v>
      </c>
      <c r="C352" s="199" t="s">
        <v>25</v>
      </c>
      <c r="D352" s="199" t="s">
        <v>1</v>
      </c>
      <c r="E352" s="176" t="s">
        <v>29</v>
      </c>
      <c r="F352" s="176" t="s">
        <v>429</v>
      </c>
      <c r="G352" s="187">
        <v>100</v>
      </c>
      <c r="H352" s="254" t="s">
        <v>125</v>
      </c>
      <c r="I352" s="190">
        <f t="shared" si="39"/>
        <v>642594</v>
      </c>
      <c r="J352" s="190">
        <f t="shared" si="39"/>
        <v>642594</v>
      </c>
      <c r="K352" s="190">
        <f t="shared" si="39"/>
        <v>642593.49</v>
      </c>
      <c r="M352" s="55"/>
    </row>
    <row r="353" spans="1:13" ht="33" customHeight="1">
      <c r="A353" s="189" t="s">
        <v>165</v>
      </c>
      <c r="B353" s="192" t="s">
        <v>310</v>
      </c>
      <c r="C353" s="199" t="s">
        <v>25</v>
      </c>
      <c r="D353" s="199" t="s">
        <v>1</v>
      </c>
      <c r="E353" s="176" t="s">
        <v>96</v>
      </c>
      <c r="F353" s="176" t="s">
        <v>429</v>
      </c>
      <c r="G353" s="199">
        <v>110</v>
      </c>
      <c r="H353" s="199">
        <v>210</v>
      </c>
      <c r="I353" s="190">
        <f>I354+I355</f>
        <v>642594</v>
      </c>
      <c r="J353" s="190">
        <f>J354+J355</f>
        <v>642594</v>
      </c>
      <c r="K353" s="190">
        <f>K354+K355-0.01-0.5</f>
        <v>642593.49</v>
      </c>
      <c r="M353" s="55"/>
    </row>
    <row r="354" spans="1:11" ht="15.75" customHeight="1" hidden="1">
      <c r="A354" s="193" t="s">
        <v>10</v>
      </c>
      <c r="B354" s="276" t="s">
        <v>310</v>
      </c>
      <c r="C354" s="268" t="s">
        <v>25</v>
      </c>
      <c r="D354" s="268" t="s">
        <v>1</v>
      </c>
      <c r="E354" s="195" t="s">
        <v>96</v>
      </c>
      <c r="F354" s="195"/>
      <c r="G354" s="268">
        <v>111</v>
      </c>
      <c r="H354" s="199">
        <v>211</v>
      </c>
      <c r="I354" s="279">
        <f>251772+241772</f>
        <v>493544</v>
      </c>
      <c r="J354" s="204">
        <v>493544</v>
      </c>
      <c r="K354" s="204">
        <v>493544</v>
      </c>
    </row>
    <row r="355" spans="1:13" ht="18" customHeight="1" hidden="1">
      <c r="A355" s="193" t="s">
        <v>12</v>
      </c>
      <c r="B355" s="276" t="s">
        <v>310</v>
      </c>
      <c r="C355" s="268" t="s">
        <v>25</v>
      </c>
      <c r="D355" s="268" t="s">
        <v>1</v>
      </c>
      <c r="E355" s="195" t="s">
        <v>96</v>
      </c>
      <c r="F355" s="195"/>
      <c r="G355" s="268">
        <v>119</v>
      </c>
      <c r="H355" s="199">
        <v>213</v>
      </c>
      <c r="I355" s="282">
        <v>149050</v>
      </c>
      <c r="J355" s="204">
        <v>149050</v>
      </c>
      <c r="K355" s="277">
        <v>149050</v>
      </c>
      <c r="M355" s="55"/>
    </row>
    <row r="356" spans="1:11" ht="30" hidden="1">
      <c r="A356" s="189" t="s">
        <v>223</v>
      </c>
      <c r="B356" s="192" t="s">
        <v>310</v>
      </c>
      <c r="C356" s="199" t="s">
        <v>25</v>
      </c>
      <c r="D356" s="199" t="s">
        <v>1</v>
      </c>
      <c r="E356" s="176" t="s">
        <v>96</v>
      </c>
      <c r="F356" s="176" t="s">
        <v>429</v>
      </c>
      <c r="G356" s="199"/>
      <c r="H356" s="254" t="s">
        <v>125</v>
      </c>
      <c r="I356" s="190">
        <f>I359</f>
        <v>0</v>
      </c>
      <c r="J356" s="190">
        <f>J359</f>
        <v>0</v>
      </c>
      <c r="K356" s="190">
        <f>K359</f>
        <v>0</v>
      </c>
    </row>
    <row r="357" spans="1:11" ht="30" hidden="1">
      <c r="A357" s="189" t="s">
        <v>164</v>
      </c>
      <c r="B357" s="192" t="s">
        <v>310</v>
      </c>
      <c r="C357" s="199" t="s">
        <v>25</v>
      </c>
      <c r="D357" s="199" t="s">
        <v>1</v>
      </c>
      <c r="E357" s="176" t="s">
        <v>96</v>
      </c>
      <c r="F357" s="176" t="s">
        <v>429</v>
      </c>
      <c r="G357" s="199">
        <v>200</v>
      </c>
      <c r="H357" s="254"/>
      <c r="I357" s="190">
        <f aca="true" t="shared" si="40" ref="I357:K358">I358</f>
        <v>0</v>
      </c>
      <c r="J357" s="190">
        <f t="shared" si="40"/>
        <v>0</v>
      </c>
      <c r="K357" s="190">
        <f t="shared" si="40"/>
        <v>0</v>
      </c>
    </row>
    <row r="358" spans="1:11" ht="30" hidden="1">
      <c r="A358" s="189" t="s">
        <v>248</v>
      </c>
      <c r="B358" s="192" t="s">
        <v>310</v>
      </c>
      <c r="C358" s="199" t="s">
        <v>25</v>
      </c>
      <c r="D358" s="199" t="s">
        <v>1</v>
      </c>
      <c r="E358" s="176" t="s">
        <v>96</v>
      </c>
      <c r="F358" s="176" t="s">
        <v>429</v>
      </c>
      <c r="G358" s="199">
        <v>240</v>
      </c>
      <c r="H358" s="254"/>
      <c r="I358" s="190">
        <f t="shared" si="40"/>
        <v>0</v>
      </c>
      <c r="J358" s="190">
        <f t="shared" si="40"/>
        <v>0</v>
      </c>
      <c r="K358" s="190">
        <f t="shared" si="40"/>
        <v>0</v>
      </c>
    </row>
    <row r="359" spans="1:11" ht="54.75" customHeight="1" hidden="1">
      <c r="A359" s="189" t="s">
        <v>160</v>
      </c>
      <c r="B359" s="192" t="s">
        <v>310</v>
      </c>
      <c r="C359" s="199" t="s">
        <v>25</v>
      </c>
      <c r="D359" s="199" t="s">
        <v>1</v>
      </c>
      <c r="E359" s="176" t="s">
        <v>96</v>
      </c>
      <c r="F359" s="176" t="s">
        <v>429</v>
      </c>
      <c r="G359" s="199">
        <v>244</v>
      </c>
      <c r="H359" s="254" t="s">
        <v>125</v>
      </c>
      <c r="I359" s="190">
        <f>I360+I361+I362+I363+I364</f>
        <v>0</v>
      </c>
      <c r="J359" s="190">
        <f>J360+J361+J362+J363+J364</f>
        <v>0</v>
      </c>
      <c r="K359" s="190">
        <f>K360+K361+K362+K363+K364</f>
        <v>0</v>
      </c>
    </row>
    <row r="360" spans="1:11" ht="30" hidden="1">
      <c r="A360" s="193" t="s">
        <v>107</v>
      </c>
      <c r="B360" s="228" t="s">
        <v>310</v>
      </c>
      <c r="C360" s="268" t="s">
        <v>25</v>
      </c>
      <c r="D360" s="268" t="s">
        <v>1</v>
      </c>
      <c r="E360" s="195" t="s">
        <v>96</v>
      </c>
      <c r="F360" s="195" t="s">
        <v>269</v>
      </c>
      <c r="G360" s="268">
        <v>224</v>
      </c>
      <c r="H360" s="199">
        <v>224</v>
      </c>
      <c r="I360" s="200">
        <v>0</v>
      </c>
      <c r="J360" s="204">
        <v>0</v>
      </c>
      <c r="K360" s="204">
        <v>0</v>
      </c>
    </row>
    <row r="361" spans="1:11" ht="30" hidden="1">
      <c r="A361" s="193" t="s">
        <v>17</v>
      </c>
      <c r="B361" s="228" t="s">
        <v>310</v>
      </c>
      <c r="C361" s="268" t="s">
        <v>25</v>
      </c>
      <c r="D361" s="268" t="s">
        <v>1</v>
      </c>
      <c r="E361" s="195" t="s">
        <v>96</v>
      </c>
      <c r="F361" s="195" t="s">
        <v>269</v>
      </c>
      <c r="G361" s="268">
        <v>225</v>
      </c>
      <c r="H361" s="199">
        <v>225</v>
      </c>
      <c r="I361" s="190">
        <v>0</v>
      </c>
      <c r="J361" s="204">
        <v>0</v>
      </c>
      <c r="K361" s="204">
        <v>0</v>
      </c>
    </row>
    <row r="362" spans="1:11" ht="14.25" customHeight="1" hidden="1">
      <c r="A362" s="193" t="s">
        <v>156</v>
      </c>
      <c r="B362" s="228" t="s">
        <v>310</v>
      </c>
      <c r="C362" s="268" t="s">
        <v>25</v>
      </c>
      <c r="D362" s="268" t="s">
        <v>1</v>
      </c>
      <c r="E362" s="195" t="s">
        <v>96</v>
      </c>
      <c r="F362" s="195" t="s">
        <v>269</v>
      </c>
      <c r="G362" s="268">
        <v>226</v>
      </c>
      <c r="H362" s="199">
        <v>226</v>
      </c>
      <c r="I362" s="200">
        <v>0</v>
      </c>
      <c r="J362" s="204">
        <v>0</v>
      </c>
      <c r="K362" s="204">
        <v>0</v>
      </c>
    </row>
    <row r="363" spans="1:11" ht="30" hidden="1">
      <c r="A363" s="193" t="s">
        <v>21</v>
      </c>
      <c r="B363" s="228" t="s">
        <v>310</v>
      </c>
      <c r="C363" s="268" t="s">
        <v>25</v>
      </c>
      <c r="D363" s="268" t="s">
        <v>1</v>
      </c>
      <c r="E363" s="195" t="s">
        <v>96</v>
      </c>
      <c r="F363" s="195" t="s">
        <v>269</v>
      </c>
      <c r="G363" s="268">
        <v>310</v>
      </c>
      <c r="H363" s="199">
        <v>310</v>
      </c>
      <c r="I363" s="200">
        <v>0</v>
      </c>
      <c r="J363" s="204">
        <v>0</v>
      </c>
      <c r="K363" s="204">
        <v>0</v>
      </c>
    </row>
    <row r="364" spans="1:11" ht="30" hidden="1">
      <c r="A364" s="193" t="s">
        <v>135</v>
      </c>
      <c r="B364" s="228" t="s">
        <v>310</v>
      </c>
      <c r="C364" s="268" t="s">
        <v>25</v>
      </c>
      <c r="D364" s="268" t="s">
        <v>1</v>
      </c>
      <c r="E364" s="195" t="s">
        <v>96</v>
      </c>
      <c r="F364" s="195" t="s">
        <v>269</v>
      </c>
      <c r="G364" s="268">
        <v>340</v>
      </c>
      <c r="H364" s="199">
        <v>340</v>
      </c>
      <c r="I364" s="211">
        <v>0</v>
      </c>
      <c r="J364" s="211">
        <v>0</v>
      </c>
      <c r="K364" s="204">
        <v>0</v>
      </c>
    </row>
    <row r="365" spans="1:11" ht="78" customHeight="1" hidden="1">
      <c r="A365" s="189" t="s">
        <v>334</v>
      </c>
      <c r="B365" s="191" t="s">
        <v>310</v>
      </c>
      <c r="C365" s="199" t="s">
        <v>25</v>
      </c>
      <c r="D365" s="199" t="s">
        <v>1</v>
      </c>
      <c r="E365" s="176" t="s">
        <v>225</v>
      </c>
      <c r="F365" s="176" t="s">
        <v>318</v>
      </c>
      <c r="G365" s="199" t="s">
        <v>4</v>
      </c>
      <c r="H365" s="254" t="s">
        <v>125</v>
      </c>
      <c r="I365" s="204">
        <f aca="true" t="shared" si="41" ref="I365:K368">I366</f>
        <v>0</v>
      </c>
      <c r="J365" s="204">
        <f t="shared" si="41"/>
        <v>0</v>
      </c>
      <c r="K365" s="204">
        <f t="shared" si="41"/>
        <v>0</v>
      </c>
    </row>
    <row r="366" spans="1:11" ht="38.25" customHeight="1" hidden="1">
      <c r="A366" s="189" t="s">
        <v>158</v>
      </c>
      <c r="B366" s="191" t="s">
        <v>310</v>
      </c>
      <c r="C366" s="199" t="s">
        <v>25</v>
      </c>
      <c r="D366" s="199" t="s">
        <v>1</v>
      </c>
      <c r="E366" s="176" t="s">
        <v>225</v>
      </c>
      <c r="F366" s="176" t="s">
        <v>318</v>
      </c>
      <c r="G366" s="176">
        <v>200</v>
      </c>
      <c r="H366" s="176">
        <v>210</v>
      </c>
      <c r="I366" s="204">
        <f t="shared" si="41"/>
        <v>0</v>
      </c>
      <c r="J366" s="204">
        <f t="shared" si="41"/>
        <v>0</v>
      </c>
      <c r="K366" s="204">
        <f t="shared" si="41"/>
        <v>0</v>
      </c>
    </row>
    <row r="367" spans="1:11" ht="25.5" customHeight="1" hidden="1">
      <c r="A367" s="189" t="s">
        <v>248</v>
      </c>
      <c r="B367" s="191" t="s">
        <v>310</v>
      </c>
      <c r="C367" s="199" t="s">
        <v>25</v>
      </c>
      <c r="D367" s="199" t="s">
        <v>1</v>
      </c>
      <c r="E367" s="176" t="s">
        <v>225</v>
      </c>
      <c r="F367" s="176" t="s">
        <v>318</v>
      </c>
      <c r="G367" s="176">
        <v>240</v>
      </c>
      <c r="H367" s="176">
        <v>211</v>
      </c>
      <c r="I367" s="204">
        <f t="shared" si="41"/>
        <v>0</v>
      </c>
      <c r="J367" s="204">
        <f t="shared" si="41"/>
        <v>0</v>
      </c>
      <c r="K367" s="204">
        <f t="shared" si="41"/>
        <v>0</v>
      </c>
    </row>
    <row r="368" spans="1:11" ht="29.25" customHeight="1" hidden="1">
      <c r="A368" s="189" t="s">
        <v>160</v>
      </c>
      <c r="B368" s="191" t="s">
        <v>310</v>
      </c>
      <c r="C368" s="199" t="s">
        <v>25</v>
      </c>
      <c r="D368" s="199" t="s">
        <v>1</v>
      </c>
      <c r="E368" s="176" t="s">
        <v>225</v>
      </c>
      <c r="F368" s="176" t="s">
        <v>318</v>
      </c>
      <c r="G368" s="176">
        <v>244</v>
      </c>
      <c r="H368" s="176">
        <v>213</v>
      </c>
      <c r="I368" s="204">
        <f t="shared" si="41"/>
        <v>0</v>
      </c>
      <c r="J368" s="204">
        <f t="shared" si="41"/>
        <v>0</v>
      </c>
      <c r="K368" s="204">
        <f t="shared" si="41"/>
        <v>0</v>
      </c>
    </row>
    <row r="369" spans="1:11" ht="12.75" customHeight="1" hidden="1">
      <c r="A369" s="189" t="s">
        <v>18</v>
      </c>
      <c r="B369" s="191" t="s">
        <v>310</v>
      </c>
      <c r="C369" s="199" t="s">
        <v>25</v>
      </c>
      <c r="D369" s="199" t="s">
        <v>1</v>
      </c>
      <c r="E369" s="176"/>
      <c r="F369" s="176" t="s">
        <v>318</v>
      </c>
      <c r="G369" s="176">
        <v>244</v>
      </c>
      <c r="H369" s="176"/>
      <c r="I369" s="204">
        <v>0</v>
      </c>
      <c r="J369" s="204">
        <v>0</v>
      </c>
      <c r="K369" s="204">
        <v>0</v>
      </c>
    </row>
    <row r="370" spans="1:11" ht="34.5" customHeight="1" hidden="1">
      <c r="A370" s="283" t="s">
        <v>451</v>
      </c>
      <c r="B370" s="191" t="s">
        <v>310</v>
      </c>
      <c r="C370" s="199" t="s">
        <v>25</v>
      </c>
      <c r="D370" s="199" t="s">
        <v>1</v>
      </c>
      <c r="E370" s="176"/>
      <c r="F370" s="176" t="s">
        <v>452</v>
      </c>
      <c r="G370" s="176">
        <v>0</v>
      </c>
      <c r="H370" s="176"/>
      <c r="I370" s="204">
        <f aca="true" t="shared" si="42" ref="I370:K372">I371</f>
        <v>0</v>
      </c>
      <c r="J370" s="204">
        <f t="shared" si="42"/>
        <v>0</v>
      </c>
      <c r="K370" s="204">
        <f t="shared" si="42"/>
        <v>0</v>
      </c>
    </row>
    <row r="371" spans="1:11" ht="42.75" customHeight="1" hidden="1">
      <c r="A371" s="284" t="s">
        <v>158</v>
      </c>
      <c r="B371" s="191" t="s">
        <v>310</v>
      </c>
      <c r="C371" s="199" t="s">
        <v>25</v>
      </c>
      <c r="D371" s="199" t="s">
        <v>1</v>
      </c>
      <c r="E371" s="176"/>
      <c r="F371" s="176" t="s">
        <v>452</v>
      </c>
      <c r="G371" s="176">
        <v>200</v>
      </c>
      <c r="H371" s="176"/>
      <c r="I371" s="204">
        <f t="shared" si="42"/>
        <v>0</v>
      </c>
      <c r="J371" s="204">
        <f t="shared" si="42"/>
        <v>0</v>
      </c>
      <c r="K371" s="204">
        <f t="shared" si="42"/>
        <v>0</v>
      </c>
    </row>
    <row r="372" spans="1:11" ht="32.25" customHeight="1" hidden="1">
      <c r="A372" s="284" t="s">
        <v>248</v>
      </c>
      <c r="B372" s="191" t="s">
        <v>310</v>
      </c>
      <c r="C372" s="199" t="s">
        <v>25</v>
      </c>
      <c r="D372" s="199" t="s">
        <v>1</v>
      </c>
      <c r="E372" s="176"/>
      <c r="F372" s="176" t="s">
        <v>452</v>
      </c>
      <c r="G372" s="176">
        <v>240</v>
      </c>
      <c r="H372" s="176"/>
      <c r="I372" s="204">
        <f t="shared" si="42"/>
        <v>0</v>
      </c>
      <c r="J372" s="204">
        <f t="shared" si="42"/>
        <v>0</v>
      </c>
      <c r="K372" s="204">
        <f t="shared" si="42"/>
        <v>0</v>
      </c>
    </row>
    <row r="373" spans="1:11" ht="37.5" customHeight="1" hidden="1">
      <c r="A373" s="284" t="s">
        <v>160</v>
      </c>
      <c r="B373" s="191" t="s">
        <v>310</v>
      </c>
      <c r="C373" s="199" t="s">
        <v>25</v>
      </c>
      <c r="D373" s="199" t="s">
        <v>1</v>
      </c>
      <c r="E373" s="176"/>
      <c r="F373" s="176" t="s">
        <v>452</v>
      </c>
      <c r="G373" s="176">
        <v>244</v>
      </c>
      <c r="H373" s="176"/>
      <c r="I373" s="204">
        <v>0</v>
      </c>
      <c r="J373" s="204">
        <f>SUM(J374:J378)</f>
        <v>0</v>
      </c>
      <c r="K373" s="204">
        <f>SUM(K374:K378)</f>
        <v>0</v>
      </c>
    </row>
    <row r="374" spans="1:11" s="93" customFormat="1" ht="22.5" customHeight="1" hidden="1">
      <c r="A374" s="285" t="s">
        <v>17</v>
      </c>
      <c r="B374" s="228" t="s">
        <v>310</v>
      </c>
      <c r="C374" s="268" t="s">
        <v>25</v>
      </c>
      <c r="D374" s="268" t="s">
        <v>1</v>
      </c>
      <c r="E374" s="195"/>
      <c r="F374" s="195" t="s">
        <v>452</v>
      </c>
      <c r="G374" s="195"/>
      <c r="H374" s="195"/>
      <c r="I374" s="244"/>
      <c r="J374" s="244"/>
      <c r="K374" s="244"/>
    </row>
    <row r="375" spans="1:11" s="93" customFormat="1" ht="26.25" customHeight="1" hidden="1">
      <c r="A375" s="285" t="s">
        <v>21</v>
      </c>
      <c r="B375" s="228" t="s">
        <v>310</v>
      </c>
      <c r="C375" s="268" t="s">
        <v>25</v>
      </c>
      <c r="D375" s="268" t="s">
        <v>1</v>
      </c>
      <c r="E375" s="195"/>
      <c r="F375" s="195" t="s">
        <v>452</v>
      </c>
      <c r="G375" s="195"/>
      <c r="H375" s="195"/>
      <c r="I375" s="244"/>
      <c r="J375" s="244"/>
      <c r="K375" s="244"/>
    </row>
    <row r="376" spans="1:11" s="93" customFormat="1" ht="22.5" customHeight="1" hidden="1">
      <c r="A376" s="285" t="s">
        <v>453</v>
      </c>
      <c r="B376" s="228" t="s">
        <v>310</v>
      </c>
      <c r="C376" s="268" t="s">
        <v>25</v>
      </c>
      <c r="D376" s="268" t="s">
        <v>1</v>
      </c>
      <c r="E376" s="195"/>
      <c r="F376" s="195" t="s">
        <v>452</v>
      </c>
      <c r="G376" s="195"/>
      <c r="H376" s="195"/>
      <c r="I376" s="244">
        <v>0</v>
      </c>
      <c r="J376" s="244">
        <v>0</v>
      </c>
      <c r="K376" s="244">
        <v>0</v>
      </c>
    </row>
    <row r="377" spans="1:11" s="93" customFormat="1" ht="21" customHeight="1" hidden="1">
      <c r="A377" s="286" t="s">
        <v>454</v>
      </c>
      <c r="B377" s="228" t="s">
        <v>310</v>
      </c>
      <c r="C377" s="268" t="s">
        <v>25</v>
      </c>
      <c r="D377" s="268" t="s">
        <v>1</v>
      </c>
      <c r="E377" s="195"/>
      <c r="F377" s="195" t="s">
        <v>452</v>
      </c>
      <c r="G377" s="195"/>
      <c r="H377" s="195"/>
      <c r="I377" s="244"/>
      <c r="J377" s="244"/>
      <c r="K377" s="244"/>
    </row>
    <row r="378" spans="1:11" s="93" customFormat="1" ht="21.75" customHeight="1" hidden="1">
      <c r="A378" s="286" t="s">
        <v>455</v>
      </c>
      <c r="B378" s="228" t="s">
        <v>310</v>
      </c>
      <c r="C378" s="268" t="s">
        <v>25</v>
      </c>
      <c r="D378" s="268" t="s">
        <v>1</v>
      </c>
      <c r="E378" s="195"/>
      <c r="F378" s="195" t="s">
        <v>452</v>
      </c>
      <c r="G378" s="195"/>
      <c r="H378" s="195"/>
      <c r="I378" s="244"/>
      <c r="J378" s="244"/>
      <c r="K378" s="244"/>
    </row>
    <row r="379" spans="1:11" ht="48.75" customHeight="1" hidden="1">
      <c r="A379" s="283" t="s">
        <v>456</v>
      </c>
      <c r="B379" s="191" t="s">
        <v>310</v>
      </c>
      <c r="C379" s="199" t="s">
        <v>25</v>
      </c>
      <c r="D379" s="199" t="s">
        <v>1</v>
      </c>
      <c r="E379" s="176"/>
      <c r="F379" s="176" t="s">
        <v>452</v>
      </c>
      <c r="G379" s="191" t="s">
        <v>125</v>
      </c>
      <c r="H379" s="176"/>
      <c r="I379" s="204">
        <f>I380</f>
        <v>0</v>
      </c>
      <c r="J379" s="204"/>
      <c r="K379" s="204"/>
    </row>
    <row r="380" spans="1:11" ht="45" customHeight="1" hidden="1">
      <c r="A380" s="284" t="s">
        <v>158</v>
      </c>
      <c r="B380" s="191" t="s">
        <v>310</v>
      </c>
      <c r="C380" s="199" t="s">
        <v>25</v>
      </c>
      <c r="D380" s="199" t="s">
        <v>1</v>
      </c>
      <c r="E380" s="176"/>
      <c r="F380" s="176" t="s">
        <v>452</v>
      </c>
      <c r="G380" s="191" t="s">
        <v>127</v>
      </c>
      <c r="H380" s="176"/>
      <c r="I380" s="204">
        <f>I381</f>
        <v>0</v>
      </c>
      <c r="J380" s="204"/>
      <c r="K380" s="204"/>
    </row>
    <row r="381" spans="1:11" ht="30" customHeight="1" hidden="1">
      <c r="A381" s="284" t="s">
        <v>248</v>
      </c>
      <c r="B381" s="191" t="s">
        <v>310</v>
      </c>
      <c r="C381" s="199" t="s">
        <v>25</v>
      </c>
      <c r="D381" s="199" t="s">
        <v>1</v>
      </c>
      <c r="E381" s="176"/>
      <c r="F381" s="176" t="s">
        <v>452</v>
      </c>
      <c r="G381" s="191" t="s">
        <v>249</v>
      </c>
      <c r="H381" s="176"/>
      <c r="I381" s="204">
        <f>I382</f>
        <v>0</v>
      </c>
      <c r="J381" s="204"/>
      <c r="K381" s="204"/>
    </row>
    <row r="382" spans="1:11" ht="31.5" customHeight="1" hidden="1">
      <c r="A382" s="284" t="s">
        <v>160</v>
      </c>
      <c r="B382" s="191" t="s">
        <v>310</v>
      </c>
      <c r="C382" s="199" t="s">
        <v>25</v>
      </c>
      <c r="D382" s="199" t="s">
        <v>1</v>
      </c>
      <c r="E382" s="176"/>
      <c r="F382" s="176" t="s">
        <v>452</v>
      </c>
      <c r="G382" s="191" t="s">
        <v>179</v>
      </c>
      <c r="H382" s="176"/>
      <c r="I382" s="204">
        <v>0</v>
      </c>
      <c r="J382" s="204">
        <f>SUM(J383:J387)</f>
        <v>0</v>
      </c>
      <c r="K382" s="204">
        <f>SUM(K383:K387)</f>
        <v>0</v>
      </c>
    </row>
    <row r="383" spans="1:11" s="93" customFormat="1" ht="27" customHeight="1" hidden="1">
      <c r="A383" s="285" t="s">
        <v>17</v>
      </c>
      <c r="B383" s="228" t="s">
        <v>310</v>
      </c>
      <c r="C383" s="268" t="s">
        <v>25</v>
      </c>
      <c r="D383" s="268" t="s">
        <v>1</v>
      </c>
      <c r="E383" s="195"/>
      <c r="F383" s="195" t="s">
        <v>452</v>
      </c>
      <c r="G383" s="228"/>
      <c r="H383" s="195"/>
      <c r="I383" s="244"/>
      <c r="J383" s="244"/>
      <c r="K383" s="244"/>
    </row>
    <row r="384" spans="1:11" s="93" customFormat="1" ht="31.5" customHeight="1" hidden="1">
      <c r="A384" s="285" t="s">
        <v>21</v>
      </c>
      <c r="B384" s="228" t="s">
        <v>310</v>
      </c>
      <c r="C384" s="268" t="s">
        <v>25</v>
      </c>
      <c r="D384" s="268" t="s">
        <v>1</v>
      </c>
      <c r="E384" s="195"/>
      <c r="F384" s="195" t="s">
        <v>452</v>
      </c>
      <c r="G384" s="228"/>
      <c r="H384" s="195"/>
      <c r="I384" s="244"/>
      <c r="J384" s="244"/>
      <c r="K384" s="244"/>
    </row>
    <row r="385" spans="1:11" s="93" customFormat="1" ht="30.75" customHeight="1" hidden="1">
      <c r="A385" s="285" t="s">
        <v>453</v>
      </c>
      <c r="B385" s="228" t="s">
        <v>310</v>
      </c>
      <c r="C385" s="268" t="s">
        <v>25</v>
      </c>
      <c r="D385" s="268" t="s">
        <v>1</v>
      </c>
      <c r="E385" s="195"/>
      <c r="F385" s="195" t="s">
        <v>452</v>
      </c>
      <c r="G385" s="228"/>
      <c r="H385" s="195"/>
      <c r="I385" s="244">
        <v>0</v>
      </c>
      <c r="J385" s="244">
        <v>0</v>
      </c>
      <c r="K385" s="244">
        <v>0</v>
      </c>
    </row>
    <row r="386" spans="1:11" s="93" customFormat="1" ht="15.75" customHeight="1" hidden="1">
      <c r="A386" s="287" t="str">
        <f>A377</f>
        <v>мягкий инвентарь</v>
      </c>
      <c r="B386" s="228" t="s">
        <v>310</v>
      </c>
      <c r="C386" s="268" t="s">
        <v>25</v>
      </c>
      <c r="D386" s="268" t="s">
        <v>1</v>
      </c>
      <c r="E386" s="195"/>
      <c r="F386" s="195" t="s">
        <v>452</v>
      </c>
      <c r="G386" s="228"/>
      <c r="H386" s="195"/>
      <c r="I386" s="244"/>
      <c r="J386" s="244"/>
      <c r="K386" s="244"/>
    </row>
    <row r="387" spans="1:11" s="93" customFormat="1" ht="27" customHeight="1" hidden="1">
      <c r="A387" s="287" t="s">
        <v>455</v>
      </c>
      <c r="B387" s="228" t="s">
        <v>310</v>
      </c>
      <c r="C387" s="268" t="s">
        <v>25</v>
      </c>
      <c r="D387" s="268" t="s">
        <v>1</v>
      </c>
      <c r="E387" s="195"/>
      <c r="F387" s="195" t="s">
        <v>452</v>
      </c>
      <c r="G387" s="228"/>
      <c r="H387" s="195"/>
      <c r="I387" s="244"/>
      <c r="J387" s="244"/>
      <c r="K387" s="244"/>
    </row>
    <row r="388" spans="1:11" ht="12.75" customHeight="1" hidden="1">
      <c r="A388" s="189"/>
      <c r="B388" s="191"/>
      <c r="C388" s="199"/>
      <c r="D388" s="199"/>
      <c r="E388" s="176"/>
      <c r="F388" s="176"/>
      <c r="G388" s="176"/>
      <c r="H388" s="176"/>
      <c r="I388" s="204"/>
      <c r="J388" s="204"/>
      <c r="K388" s="204"/>
    </row>
    <row r="389" spans="1:11" ht="12.75" customHeight="1" hidden="1">
      <c r="A389" s="189"/>
      <c r="B389" s="191"/>
      <c r="C389" s="199"/>
      <c r="D389" s="199"/>
      <c r="E389" s="176"/>
      <c r="F389" s="176"/>
      <c r="G389" s="176"/>
      <c r="H389" s="176"/>
      <c r="I389" s="204"/>
      <c r="J389" s="204"/>
      <c r="K389" s="204"/>
    </row>
    <row r="390" spans="1:11" ht="12.75" customHeight="1" hidden="1">
      <c r="A390" s="189"/>
      <c r="B390" s="191"/>
      <c r="C390" s="199"/>
      <c r="D390" s="199"/>
      <c r="E390" s="176"/>
      <c r="F390" s="176"/>
      <c r="G390" s="176"/>
      <c r="H390" s="176"/>
      <c r="I390" s="204"/>
      <c r="J390" s="204"/>
      <c r="K390" s="204"/>
    </row>
    <row r="391" spans="1:11" ht="12.75" customHeight="1" hidden="1">
      <c r="A391" s="189"/>
      <c r="B391" s="191"/>
      <c r="C391" s="199"/>
      <c r="D391" s="199"/>
      <c r="E391" s="176"/>
      <c r="F391" s="176"/>
      <c r="G391" s="176"/>
      <c r="H391" s="176"/>
      <c r="I391" s="204"/>
      <c r="J391" s="204"/>
      <c r="K391" s="204"/>
    </row>
    <row r="392" spans="1:11" ht="12.75" customHeight="1" hidden="1">
      <c r="A392" s="189"/>
      <c r="B392" s="191"/>
      <c r="C392" s="199"/>
      <c r="D392" s="199"/>
      <c r="E392" s="176"/>
      <c r="F392" s="176"/>
      <c r="G392" s="176"/>
      <c r="H392" s="176"/>
      <c r="I392" s="204"/>
      <c r="J392" s="204"/>
      <c r="K392" s="204"/>
    </row>
    <row r="393" spans="1:11" ht="12.75" customHeight="1" hidden="1">
      <c r="A393" s="189"/>
      <c r="B393" s="191"/>
      <c r="C393" s="199"/>
      <c r="D393" s="199"/>
      <c r="E393" s="176"/>
      <c r="F393" s="176"/>
      <c r="G393" s="176"/>
      <c r="H393" s="176"/>
      <c r="I393" s="204"/>
      <c r="J393" s="204"/>
      <c r="K393" s="204"/>
    </row>
    <row r="394" spans="1:11" ht="12.75" customHeight="1" hidden="1">
      <c r="A394" s="189"/>
      <c r="B394" s="191"/>
      <c r="C394" s="199"/>
      <c r="D394" s="199"/>
      <c r="E394" s="176"/>
      <c r="F394" s="176"/>
      <c r="G394" s="176"/>
      <c r="H394" s="176"/>
      <c r="I394" s="204"/>
      <c r="J394" s="204"/>
      <c r="K394" s="204"/>
    </row>
    <row r="395" spans="1:11" ht="12.75" customHeight="1" hidden="1">
      <c r="A395" s="189"/>
      <c r="B395" s="191"/>
      <c r="C395" s="199"/>
      <c r="D395" s="199"/>
      <c r="E395" s="176"/>
      <c r="F395" s="176"/>
      <c r="G395" s="176"/>
      <c r="H395" s="176"/>
      <c r="I395" s="204"/>
      <c r="J395" s="204"/>
      <c r="K395" s="204"/>
    </row>
    <row r="396" spans="1:15" ht="27.75" customHeight="1">
      <c r="A396" s="281" t="s">
        <v>279</v>
      </c>
      <c r="B396" s="239"/>
      <c r="C396" s="240"/>
      <c r="D396" s="240"/>
      <c r="E396" s="240"/>
      <c r="F396" s="240"/>
      <c r="G396" s="240"/>
      <c r="H396" s="240"/>
      <c r="I396" s="241"/>
      <c r="J396" s="241">
        <f>(прилож1!E54-прилож1!E45-прилож1!E42)*2.5%+0.25</f>
        <v>381240.025</v>
      </c>
      <c r="K396" s="241">
        <f>(прилож1!F54-прилож1!F45-прилож1!F42)*5%+0.14</f>
        <v>682597.54</v>
      </c>
      <c r="M396" s="55"/>
      <c r="N396" s="55"/>
      <c r="O396" s="55"/>
    </row>
    <row r="397" spans="1:15" ht="27.75" customHeight="1">
      <c r="A397" s="281"/>
      <c r="B397" s="239"/>
      <c r="C397" s="240"/>
      <c r="D397" s="240"/>
      <c r="E397" s="240"/>
      <c r="F397" s="240"/>
      <c r="G397" s="240"/>
      <c r="H397" s="240"/>
      <c r="I397" s="241"/>
      <c r="J397" s="241"/>
      <c r="K397" s="241"/>
      <c r="M397" s="55"/>
      <c r="N397" s="55"/>
      <c r="O397" s="55"/>
    </row>
    <row r="398" spans="1:14" ht="12.75" customHeight="1">
      <c r="A398" s="245" t="s">
        <v>229</v>
      </c>
      <c r="B398" s="182"/>
      <c r="C398" s="182"/>
      <c r="D398" s="182"/>
      <c r="E398" s="182"/>
      <c r="F398" s="182"/>
      <c r="G398" s="182"/>
      <c r="H398" s="182"/>
      <c r="I398" s="185">
        <f>I8+I317</f>
        <v>34560150.120000005</v>
      </c>
      <c r="J398" s="185">
        <f>J8+J317+J396</f>
        <v>16056790.995000001</v>
      </c>
      <c r="K398" s="185">
        <f>K8+K317+K396</f>
        <v>14464547.998219997</v>
      </c>
      <c r="M398" s="55"/>
      <c r="N398" s="55"/>
    </row>
    <row r="399" spans="1:14" ht="13.5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M399" s="98"/>
      <c r="N399" s="55"/>
    </row>
    <row r="400" spans="9:13" ht="12.75">
      <c r="I400" s="113"/>
      <c r="J400" s="55"/>
      <c r="K400" s="55"/>
      <c r="M400" s="55"/>
    </row>
    <row r="401" spans="9:13" ht="12.75">
      <c r="I401" s="40"/>
      <c r="J401" s="98"/>
      <c r="K401" s="98"/>
      <c r="M401" s="55"/>
    </row>
    <row r="402" spans="9:11" ht="12.75">
      <c r="I402" s="55"/>
      <c r="J402" s="55"/>
      <c r="K402" s="55"/>
    </row>
    <row r="403" spans="10:11" ht="12.75">
      <c r="J403" s="55"/>
      <c r="K403" s="55"/>
    </row>
    <row r="404" ht="12.75">
      <c r="J404" s="55"/>
    </row>
    <row r="405" spans="7:10" ht="12.75">
      <c r="G405" s="70"/>
      <c r="I405" s="55"/>
      <c r="J405" s="55"/>
    </row>
    <row r="406" ht="12.75">
      <c r="I406" s="55"/>
    </row>
    <row r="407" ht="12.75">
      <c r="J407" s="55"/>
    </row>
    <row r="409" spans="10:11" ht="12.75">
      <c r="J409" s="55"/>
      <c r="K409" s="55"/>
    </row>
    <row r="411" ht="12.75">
      <c r="J411" s="55"/>
    </row>
  </sheetData>
  <sheetProtection/>
  <mergeCells count="8">
    <mergeCell ref="E2:K2"/>
    <mergeCell ref="J6:K6"/>
    <mergeCell ref="A6:A7"/>
    <mergeCell ref="B6:G6"/>
    <mergeCell ref="H6:H7"/>
    <mergeCell ref="I6:I7"/>
    <mergeCell ref="A4:K4"/>
    <mergeCell ref="C3:K3"/>
  </mergeCells>
  <printOptions/>
  <pageMargins left="0.9055118110236221" right="0.11811023622047245" top="0.1968503937007874" bottom="0.15748031496062992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54.00390625" style="0" customWidth="1"/>
    <col min="2" max="2" width="17.625" style="0" customWidth="1"/>
    <col min="3" max="3" width="16.125" style="0" customWidth="1"/>
    <col min="4" max="4" width="15.00390625" style="0" customWidth="1"/>
    <col min="5" max="5" width="18.75390625" style="0" customWidth="1"/>
    <col min="6" max="6" width="17.75390625" style="0" customWidth="1"/>
    <col min="7" max="9" width="16.00390625" style="0" customWidth="1"/>
    <col min="10" max="10" width="15.75390625" style="0" customWidth="1"/>
    <col min="11" max="11" width="15.625" style="0" customWidth="1"/>
  </cols>
  <sheetData>
    <row r="1" spans="6:11" ht="15">
      <c r="F1" s="57"/>
      <c r="G1" s="57"/>
      <c r="H1" s="57"/>
      <c r="I1" s="57"/>
      <c r="J1" s="57"/>
      <c r="K1" s="57"/>
    </row>
    <row r="2" spans="6:11" ht="15">
      <c r="F2" s="57"/>
      <c r="G2" s="57"/>
      <c r="H2" s="154"/>
      <c r="I2" s="380" t="s">
        <v>550</v>
      </c>
      <c r="J2" s="380"/>
      <c r="K2" s="380"/>
    </row>
    <row r="3" spans="6:11" ht="21.75" customHeight="1">
      <c r="F3" s="363" t="str">
        <f>прилож1!C4</f>
        <v>к  решению Думы МО "Гаханское"  № 103 от 20 сентября  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v>
      </c>
      <c r="G3" s="382"/>
      <c r="H3" s="382"/>
      <c r="I3" s="382"/>
      <c r="J3" s="382"/>
      <c r="K3" s="382"/>
    </row>
    <row r="4" spans="6:11" ht="36" customHeight="1">
      <c r="F4" s="382"/>
      <c r="G4" s="382"/>
      <c r="H4" s="382"/>
      <c r="I4" s="382"/>
      <c r="J4" s="382"/>
      <c r="K4" s="382"/>
    </row>
    <row r="6" spans="1:11" ht="15.75">
      <c r="A6" s="381" t="s">
        <v>458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</row>
    <row r="7" spans="1:11" ht="15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15.7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3" t="s">
        <v>383</v>
      </c>
    </row>
    <row r="9" spans="1:11" ht="114.75" customHeight="1">
      <c r="A9" s="155" t="s">
        <v>459</v>
      </c>
      <c r="B9" s="156" t="s">
        <v>460</v>
      </c>
      <c r="C9" s="157" t="s">
        <v>384</v>
      </c>
      <c r="D9" s="157" t="s">
        <v>385</v>
      </c>
      <c r="E9" s="156" t="s">
        <v>461</v>
      </c>
      <c r="F9" s="157" t="s">
        <v>386</v>
      </c>
      <c r="G9" s="157" t="s">
        <v>387</v>
      </c>
      <c r="H9" s="156" t="s">
        <v>462</v>
      </c>
      <c r="I9" s="157" t="s">
        <v>463</v>
      </c>
      <c r="J9" s="157" t="s">
        <v>464</v>
      </c>
      <c r="K9" s="156" t="s">
        <v>465</v>
      </c>
    </row>
    <row r="10" spans="1:11" ht="30.75" customHeight="1">
      <c r="A10" s="158" t="s">
        <v>466</v>
      </c>
      <c r="B10" s="159">
        <f>B12+B14</f>
        <v>0</v>
      </c>
      <c r="C10" s="160">
        <f aca="true" t="shared" si="0" ref="C10:K10">C12+C14</f>
        <v>260912</v>
      </c>
      <c r="D10" s="161">
        <f t="shared" si="0"/>
        <v>0</v>
      </c>
      <c r="E10" s="162">
        <f t="shared" si="0"/>
        <v>260912</v>
      </c>
      <c r="F10" s="160">
        <f t="shared" si="0"/>
        <v>522093</v>
      </c>
      <c r="G10" s="160">
        <f t="shared" si="0"/>
        <v>260912</v>
      </c>
      <c r="H10" s="163">
        <f t="shared" si="0"/>
        <v>522093</v>
      </c>
      <c r="I10" s="160">
        <f t="shared" si="0"/>
        <v>531179</v>
      </c>
      <c r="J10" s="160">
        <f t="shared" si="0"/>
        <v>261181</v>
      </c>
      <c r="K10" s="163">
        <f t="shared" si="0"/>
        <v>792091</v>
      </c>
    </row>
    <row r="11" spans="1:11" ht="15" customHeight="1">
      <c r="A11" s="164" t="s">
        <v>382</v>
      </c>
      <c r="B11" s="164"/>
      <c r="C11" s="165"/>
      <c r="D11" s="164"/>
      <c r="E11" s="165"/>
      <c r="F11" s="165"/>
      <c r="G11" s="165"/>
      <c r="H11" s="165"/>
      <c r="I11" s="165"/>
      <c r="J11" s="165"/>
      <c r="K11" s="165"/>
    </row>
    <row r="12" spans="1:11" ht="38.25" customHeight="1">
      <c r="A12" s="156" t="s">
        <v>467</v>
      </c>
      <c r="B12" s="166">
        <v>0</v>
      </c>
      <c r="C12" s="167">
        <v>260912</v>
      </c>
      <c r="D12" s="168">
        <v>0</v>
      </c>
      <c r="E12" s="169">
        <f>B12+C12-D12</f>
        <v>260912</v>
      </c>
      <c r="F12" s="167">
        <f>260912+261181</f>
        <v>522093</v>
      </c>
      <c r="G12" s="167">
        <v>260912</v>
      </c>
      <c r="H12" s="170">
        <f>F12</f>
        <v>522093</v>
      </c>
      <c r="I12" s="167">
        <f>прилож1!E53+прилож1!F53</f>
        <v>531179</v>
      </c>
      <c r="J12" s="167">
        <v>261181</v>
      </c>
      <c r="K12" s="170">
        <f>H12+I12-J12</f>
        <v>792091</v>
      </c>
    </row>
    <row r="13" spans="1:11" ht="69.75" customHeight="1">
      <c r="A13" s="164" t="s">
        <v>468</v>
      </c>
      <c r="B13" s="171" t="s">
        <v>469</v>
      </c>
      <c r="C13" s="164"/>
      <c r="D13" s="164"/>
      <c r="E13" s="171" t="s">
        <v>469</v>
      </c>
      <c r="F13" s="164"/>
      <c r="G13" s="164"/>
      <c r="H13" s="171" t="s">
        <v>469</v>
      </c>
      <c r="I13" s="164"/>
      <c r="J13" s="164"/>
      <c r="K13" s="171" t="s">
        <v>469</v>
      </c>
    </row>
    <row r="14" spans="1:11" ht="55.5" customHeight="1" hidden="1">
      <c r="A14" s="104" t="s">
        <v>470</v>
      </c>
      <c r="B14" s="108">
        <v>0</v>
      </c>
      <c r="C14" s="109">
        <v>0</v>
      </c>
      <c r="D14" s="107">
        <v>0</v>
      </c>
      <c r="E14" s="110">
        <f>B14+C14-D14</f>
        <v>0</v>
      </c>
      <c r="F14" s="109">
        <v>0</v>
      </c>
      <c r="G14" s="107">
        <v>0</v>
      </c>
      <c r="H14" s="108">
        <f>E14+F14-G14</f>
        <v>0</v>
      </c>
      <c r="I14" s="109">
        <v>0</v>
      </c>
      <c r="J14" s="107">
        <v>0</v>
      </c>
      <c r="K14" s="108">
        <f>H14+I14-J14</f>
        <v>0</v>
      </c>
    </row>
    <row r="15" spans="1:11" ht="21" customHeight="1" hidden="1">
      <c r="A15" s="106" t="s">
        <v>471</v>
      </c>
      <c r="B15" s="106"/>
      <c r="C15" s="106"/>
      <c r="D15" s="106"/>
      <c r="E15" s="106"/>
      <c r="F15" s="106"/>
      <c r="G15" s="106"/>
      <c r="H15" s="106"/>
      <c r="I15" s="111"/>
      <c r="J15" s="111"/>
      <c r="K15" s="106"/>
    </row>
    <row r="16" spans="1:11" ht="70.5" customHeight="1" hidden="1">
      <c r="A16" s="105" t="s">
        <v>468</v>
      </c>
      <c r="B16" s="112" t="s">
        <v>472</v>
      </c>
      <c r="C16" s="105"/>
      <c r="D16" s="105"/>
      <c r="E16" s="112" t="s">
        <v>472</v>
      </c>
      <c r="F16" s="105"/>
      <c r="G16" s="105"/>
      <c r="H16" s="112" t="s">
        <v>472</v>
      </c>
      <c r="I16" s="112"/>
      <c r="J16" s="112"/>
      <c r="K16" s="112" t="s">
        <v>472</v>
      </c>
    </row>
  </sheetData>
  <sheetProtection/>
  <mergeCells count="3">
    <mergeCell ref="I2:K2"/>
    <mergeCell ref="A6:K6"/>
    <mergeCell ref="F3:K4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22">
      <selection activeCell="E23" sqref="E23"/>
    </sheetView>
  </sheetViews>
  <sheetFormatPr defaultColWidth="9.00390625" defaultRowHeight="12.75"/>
  <cols>
    <col min="1" max="1" width="52.625" style="0" customWidth="1"/>
    <col min="2" max="2" width="26.75390625" style="0" customWidth="1"/>
    <col min="3" max="3" width="19.625" style="0" customWidth="1"/>
    <col min="4" max="4" width="21.25390625" style="0" customWidth="1"/>
    <col min="5" max="5" width="20.25390625" style="0" customWidth="1"/>
  </cols>
  <sheetData>
    <row r="1" spans="1:5" ht="15">
      <c r="A1" s="57"/>
      <c r="B1" s="57"/>
      <c r="C1" s="57"/>
      <c r="D1" s="57"/>
      <c r="E1" s="57"/>
    </row>
    <row r="2" spans="1:5" ht="24.75" customHeight="1">
      <c r="A2" s="363" t="s">
        <v>214</v>
      </c>
      <c r="B2" s="364"/>
      <c r="C2" s="364"/>
      <c r="D2" s="364"/>
      <c r="E2" s="364"/>
    </row>
    <row r="3" spans="1:5" ht="15">
      <c r="A3" s="129"/>
      <c r="B3" s="363" t="str">
        <f>прилож1!C4</f>
        <v>к  решению Думы МО "Гаханское"  № 103 от 20 сентября  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v>
      </c>
      <c r="C3" s="363"/>
      <c r="D3" s="363"/>
      <c r="E3" s="363"/>
    </row>
    <row r="4" spans="1:5" ht="45" customHeight="1">
      <c r="A4" s="133"/>
      <c r="B4" s="363"/>
      <c r="C4" s="363"/>
      <c r="D4" s="363"/>
      <c r="E4" s="363"/>
    </row>
    <row r="5" spans="1:3" ht="12.75">
      <c r="A5" s="388"/>
      <c r="B5" s="388"/>
      <c r="C5" s="388"/>
    </row>
    <row r="6" spans="1:5" ht="15.75">
      <c r="A6" s="376" t="s">
        <v>549</v>
      </c>
      <c r="B6" s="376"/>
      <c r="C6" s="376"/>
      <c r="D6" s="389"/>
      <c r="E6" s="389"/>
    </row>
    <row r="7" spans="1:5" ht="15.75">
      <c r="A7" s="390" t="s">
        <v>548</v>
      </c>
      <c r="B7" s="390"/>
      <c r="C7" s="390"/>
      <c r="D7" s="391"/>
      <c r="E7" s="391"/>
    </row>
    <row r="8" spans="1:5" ht="15">
      <c r="A8" s="134"/>
      <c r="B8" s="134"/>
      <c r="C8" s="134"/>
      <c r="D8" s="135"/>
      <c r="E8" s="135"/>
    </row>
    <row r="9" spans="1:5" ht="13.5" thickBot="1">
      <c r="A9" s="58"/>
      <c r="B9" s="58"/>
      <c r="C9" s="58"/>
      <c r="D9" s="76"/>
      <c r="E9" s="100" t="s">
        <v>280</v>
      </c>
    </row>
    <row r="10" spans="1:5" ht="15.75" thickBot="1">
      <c r="A10" s="383" t="s">
        <v>130</v>
      </c>
      <c r="B10" s="383" t="s">
        <v>61</v>
      </c>
      <c r="C10" s="385" t="s">
        <v>330</v>
      </c>
      <c r="D10" s="386" t="s">
        <v>276</v>
      </c>
      <c r="E10" s="387"/>
    </row>
    <row r="11" spans="1:5" ht="15.75" thickBot="1">
      <c r="A11" s="384"/>
      <c r="B11" s="384"/>
      <c r="C11" s="384"/>
      <c r="D11" s="136" t="s">
        <v>348</v>
      </c>
      <c r="E11" s="137" t="s">
        <v>457</v>
      </c>
    </row>
    <row r="12" spans="1:5" ht="47.25" customHeight="1" thickBot="1">
      <c r="A12" s="138" t="s">
        <v>359</v>
      </c>
      <c r="B12" s="82" t="s">
        <v>213</v>
      </c>
      <c r="C12" s="139">
        <f>-C13</f>
        <v>-260912</v>
      </c>
      <c r="D12" s="139">
        <f>-D13</f>
        <v>-261181</v>
      </c>
      <c r="E12" s="139">
        <f>-E13</f>
        <v>-269998</v>
      </c>
    </row>
    <row r="13" spans="1:5" ht="39.75" customHeight="1" thickBot="1">
      <c r="A13" s="138" t="s">
        <v>212</v>
      </c>
      <c r="B13" s="82" t="s">
        <v>397</v>
      </c>
      <c r="C13" s="140">
        <f>C14+C16</f>
        <v>260912</v>
      </c>
      <c r="D13" s="140">
        <f>D14+D16</f>
        <v>261181</v>
      </c>
      <c r="E13" s="140">
        <f>E14+E16</f>
        <v>269998</v>
      </c>
    </row>
    <row r="14" spans="1:5" ht="48.75" customHeight="1" thickBot="1">
      <c r="A14" s="138" t="s">
        <v>360</v>
      </c>
      <c r="B14" s="82" t="s">
        <v>398</v>
      </c>
      <c r="C14" s="140">
        <f>C15</f>
        <v>260912</v>
      </c>
      <c r="D14" s="140">
        <f>D15</f>
        <v>522093</v>
      </c>
      <c r="E14" s="140">
        <f>E15</f>
        <v>531179</v>
      </c>
    </row>
    <row r="15" spans="1:5" ht="56.25" customHeight="1" thickBot="1">
      <c r="A15" s="138" t="s">
        <v>388</v>
      </c>
      <c r="B15" s="82" t="s">
        <v>399</v>
      </c>
      <c r="C15" s="140">
        <v>260912</v>
      </c>
      <c r="D15" s="140">
        <f>C15+261181</f>
        <v>522093</v>
      </c>
      <c r="E15" s="140">
        <f>269998+D13</f>
        <v>531179</v>
      </c>
    </row>
    <row r="16" spans="1:5" ht="48.75" customHeight="1" thickBot="1">
      <c r="A16" s="138" t="s">
        <v>361</v>
      </c>
      <c r="B16" s="82" t="s">
        <v>400</v>
      </c>
      <c r="C16" s="140">
        <f>C17</f>
        <v>0</v>
      </c>
      <c r="D16" s="140">
        <f>D17</f>
        <v>-260912</v>
      </c>
      <c r="E16" s="140">
        <f>E17</f>
        <v>-261181</v>
      </c>
    </row>
    <row r="17" spans="1:5" ht="42.75" customHeight="1" thickBot="1">
      <c r="A17" s="138" t="s">
        <v>389</v>
      </c>
      <c r="B17" s="82" t="s">
        <v>401</v>
      </c>
      <c r="C17" s="140">
        <v>0</v>
      </c>
      <c r="D17" s="140">
        <f>-C15</f>
        <v>-260912</v>
      </c>
      <c r="E17" s="140">
        <f>-D13</f>
        <v>-261181</v>
      </c>
    </row>
    <row r="18" spans="1:5" ht="32.25" customHeight="1" thickBot="1">
      <c r="A18" s="138" t="s">
        <v>362</v>
      </c>
      <c r="B18" s="82" t="s">
        <v>402</v>
      </c>
      <c r="C18" s="140">
        <v>0</v>
      </c>
      <c r="D18" s="140">
        <v>0</v>
      </c>
      <c r="E18" s="140">
        <v>0</v>
      </c>
    </row>
    <row r="19" spans="1:5" ht="43.5" customHeight="1" thickBot="1">
      <c r="A19" s="138" t="s">
        <v>363</v>
      </c>
      <c r="B19" s="82" t="s">
        <v>403</v>
      </c>
      <c r="C19" s="140">
        <v>0</v>
      </c>
      <c r="D19" s="140">
        <v>0</v>
      </c>
      <c r="E19" s="140">
        <v>0</v>
      </c>
    </row>
    <row r="20" spans="1:5" ht="70.5" customHeight="1" thickBot="1">
      <c r="A20" s="138" t="s">
        <v>390</v>
      </c>
      <c r="B20" s="82" t="s">
        <v>404</v>
      </c>
      <c r="C20" s="140">
        <v>0</v>
      </c>
      <c r="D20" s="140">
        <v>0</v>
      </c>
      <c r="E20" s="140">
        <v>0</v>
      </c>
    </row>
    <row r="21" spans="1:5" ht="68.25" customHeight="1" thickBot="1">
      <c r="A21" s="138" t="s">
        <v>364</v>
      </c>
      <c r="B21" s="82" t="s">
        <v>405</v>
      </c>
      <c r="C21" s="140">
        <v>0</v>
      </c>
      <c r="D21" s="140">
        <v>0</v>
      </c>
      <c r="E21" s="140">
        <v>0</v>
      </c>
    </row>
    <row r="22" spans="1:5" ht="66" customHeight="1" thickBot="1">
      <c r="A22" s="138" t="s">
        <v>391</v>
      </c>
      <c r="B22" s="82" t="s">
        <v>406</v>
      </c>
      <c r="C22" s="140">
        <v>0</v>
      </c>
      <c r="D22" s="140">
        <v>0</v>
      </c>
      <c r="E22" s="140">
        <v>0</v>
      </c>
    </row>
    <row r="23" spans="1:5" ht="42.75" customHeight="1" thickBot="1">
      <c r="A23" s="141" t="s">
        <v>365</v>
      </c>
      <c r="B23" s="142" t="s">
        <v>131</v>
      </c>
      <c r="C23" s="143">
        <f>C29+C24</f>
        <v>260912</v>
      </c>
      <c r="D23" s="143">
        <f>D29+D24</f>
        <v>261181</v>
      </c>
      <c r="E23" s="143">
        <f>E29+E24</f>
        <v>269998</v>
      </c>
    </row>
    <row r="24" spans="1:5" ht="36" customHeight="1" thickBot="1">
      <c r="A24" s="144" t="s">
        <v>133</v>
      </c>
      <c r="B24" s="142" t="s">
        <v>366</v>
      </c>
      <c r="C24" s="143">
        <f aca="true" t="shared" si="0" ref="C24:E25">C25</f>
        <v>-33215380</v>
      </c>
      <c r="D24" s="143">
        <f t="shared" si="0"/>
        <v>-15795610</v>
      </c>
      <c r="E24" s="143">
        <f t="shared" si="0"/>
        <v>-14194550</v>
      </c>
    </row>
    <row r="25" spans="1:5" ht="36" customHeight="1" thickBot="1">
      <c r="A25" s="144" t="s">
        <v>138</v>
      </c>
      <c r="B25" s="142" t="s">
        <v>347</v>
      </c>
      <c r="C25" s="143">
        <f t="shared" si="0"/>
        <v>-33215380</v>
      </c>
      <c r="D25" s="143">
        <f t="shared" si="0"/>
        <v>-15795610</v>
      </c>
      <c r="E25" s="143">
        <f t="shared" si="0"/>
        <v>-14194550</v>
      </c>
    </row>
    <row r="26" spans="1:5" ht="33" customHeight="1" thickBot="1">
      <c r="A26" s="145" t="s">
        <v>139</v>
      </c>
      <c r="B26" s="146" t="s">
        <v>367</v>
      </c>
      <c r="C26" s="143">
        <f>C27</f>
        <v>-33215380</v>
      </c>
      <c r="D26" s="143">
        <f>D27</f>
        <v>-15795610</v>
      </c>
      <c r="E26" s="143">
        <f>E27</f>
        <v>-14194550</v>
      </c>
    </row>
    <row r="27" spans="1:5" ht="45" customHeight="1" thickBot="1">
      <c r="A27" s="145" t="s">
        <v>368</v>
      </c>
      <c r="B27" s="146" t="s">
        <v>393</v>
      </c>
      <c r="C27" s="143">
        <f>-прилож1!D52</f>
        <v>-33215380</v>
      </c>
      <c r="D27" s="143">
        <f>-прилож1!E52</f>
        <v>-15795610</v>
      </c>
      <c r="E27" s="143">
        <f>-прилож1!F52</f>
        <v>-14194550</v>
      </c>
    </row>
    <row r="28" spans="1:5" ht="18.75" customHeight="1" hidden="1" thickBot="1">
      <c r="A28" s="145" t="s">
        <v>368</v>
      </c>
      <c r="B28" s="142" t="s">
        <v>396</v>
      </c>
      <c r="C28" s="143"/>
      <c r="D28" s="143"/>
      <c r="E28" s="143"/>
    </row>
    <row r="29" spans="1:5" ht="36.75" customHeight="1" thickBot="1">
      <c r="A29" s="144" t="s">
        <v>132</v>
      </c>
      <c r="B29" s="142" t="s">
        <v>369</v>
      </c>
      <c r="C29" s="143">
        <f aca="true" t="shared" si="1" ref="C29:E30">C30</f>
        <v>33476292</v>
      </c>
      <c r="D29" s="143">
        <f t="shared" si="1"/>
        <v>16056791</v>
      </c>
      <c r="E29" s="143">
        <f>E30</f>
        <v>14464548</v>
      </c>
    </row>
    <row r="30" spans="1:5" ht="34.5" customHeight="1" thickBot="1">
      <c r="A30" s="144" t="s">
        <v>140</v>
      </c>
      <c r="B30" s="142" t="s">
        <v>370</v>
      </c>
      <c r="C30" s="143">
        <f t="shared" si="1"/>
        <v>33476292</v>
      </c>
      <c r="D30" s="143">
        <f t="shared" si="1"/>
        <v>16056791</v>
      </c>
      <c r="E30" s="143">
        <f t="shared" si="1"/>
        <v>14464548</v>
      </c>
    </row>
    <row r="31" spans="1:5" ht="29.25" customHeight="1" thickBot="1">
      <c r="A31" s="147" t="s">
        <v>141</v>
      </c>
      <c r="B31" s="148" t="s">
        <v>371</v>
      </c>
      <c r="C31" s="149">
        <f>C32</f>
        <v>33476292</v>
      </c>
      <c r="D31" s="149">
        <f>D32</f>
        <v>16056791</v>
      </c>
      <c r="E31" s="149">
        <f>E32</f>
        <v>14464548</v>
      </c>
    </row>
    <row r="32" spans="1:5" ht="45.75" customHeight="1" thickBot="1">
      <c r="A32" s="150" t="s">
        <v>372</v>
      </c>
      <c r="B32" s="288" t="s">
        <v>394</v>
      </c>
      <c r="C32" s="139">
        <f>прилож1!D52+C15</f>
        <v>33476292</v>
      </c>
      <c r="D32" s="139">
        <f>прилож1!E54</f>
        <v>16056791</v>
      </c>
      <c r="E32" s="151">
        <f>прилож1!F54</f>
        <v>14464548</v>
      </c>
    </row>
    <row r="33" spans="1:5" ht="41.25" customHeight="1" thickBot="1">
      <c r="A33" s="152" t="s">
        <v>373</v>
      </c>
      <c r="B33" s="288" t="s">
        <v>374</v>
      </c>
      <c r="C33" s="139">
        <v>0</v>
      </c>
      <c r="D33" s="153">
        <v>0</v>
      </c>
      <c r="E33" s="139">
        <v>0</v>
      </c>
    </row>
  </sheetData>
  <sheetProtection/>
  <mergeCells count="9">
    <mergeCell ref="B3:E4"/>
    <mergeCell ref="A10:A11"/>
    <mergeCell ref="B10:B11"/>
    <mergeCell ref="C10:C11"/>
    <mergeCell ref="D10:E10"/>
    <mergeCell ref="A2:E2"/>
    <mergeCell ref="A5:C5"/>
    <mergeCell ref="A6:E6"/>
    <mergeCell ref="A7:E7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15.875" style="0" customWidth="1"/>
    <col min="2" max="2" width="19.25390625" style="0" customWidth="1"/>
    <col min="3" max="3" width="36.375" style="0" customWidth="1"/>
    <col min="4" max="4" width="48.125" style="0" customWidth="1"/>
  </cols>
  <sheetData>
    <row r="1" spans="3:4" ht="15">
      <c r="C1" s="57"/>
      <c r="D1" s="133" t="s">
        <v>200</v>
      </c>
    </row>
    <row r="2" spans="3:4" ht="86.25" customHeight="1">
      <c r="C2" s="363" t="str">
        <f>прилож1!C4</f>
        <v>к  решению Думы МО "Гаханское"  № 103 от 20 сентября  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v>
      </c>
      <c r="D2" s="382"/>
    </row>
    <row r="3" spans="1:4" ht="60" customHeight="1" thickBot="1">
      <c r="A3" s="392" t="s">
        <v>510</v>
      </c>
      <c r="B3" s="393"/>
      <c r="C3" s="393"/>
      <c r="D3" s="393"/>
    </row>
    <row r="4" spans="1:4" ht="59.25" customHeight="1" thickBot="1">
      <c r="A4" s="88" t="s">
        <v>210</v>
      </c>
      <c r="B4" s="72" t="s">
        <v>211</v>
      </c>
      <c r="C4" s="66" t="s">
        <v>64</v>
      </c>
      <c r="D4" s="65" t="s">
        <v>31</v>
      </c>
    </row>
    <row r="5" spans="1:4" ht="33" customHeight="1" thickBot="1">
      <c r="A5" s="394" t="s">
        <v>307</v>
      </c>
      <c r="B5" s="397" t="s">
        <v>305</v>
      </c>
      <c r="C5" s="67" t="s">
        <v>131</v>
      </c>
      <c r="D5" s="68" t="s">
        <v>137</v>
      </c>
    </row>
    <row r="6" spans="1:4" ht="27" customHeight="1" thickBot="1">
      <c r="A6" s="395"/>
      <c r="B6" s="398"/>
      <c r="C6" s="67" t="s">
        <v>347</v>
      </c>
      <c r="D6" s="68" t="s">
        <v>133</v>
      </c>
    </row>
    <row r="7" spans="1:4" ht="30.75" thickBot="1">
      <c r="A7" s="395"/>
      <c r="B7" s="398"/>
      <c r="C7" s="67" t="s">
        <v>392</v>
      </c>
      <c r="D7" s="68" t="s">
        <v>138</v>
      </c>
    </row>
    <row r="8" spans="1:4" ht="28.5" customHeight="1" thickBot="1">
      <c r="A8" s="395"/>
      <c r="B8" s="398"/>
      <c r="C8" s="67" t="s">
        <v>393</v>
      </c>
      <c r="D8" s="68" t="s">
        <v>139</v>
      </c>
    </row>
    <row r="9" spans="1:4" ht="18.75" customHeight="1" thickBot="1">
      <c r="A9" s="395"/>
      <c r="B9" s="398"/>
      <c r="C9" s="67" t="s">
        <v>369</v>
      </c>
      <c r="D9" s="68" t="s">
        <v>132</v>
      </c>
    </row>
    <row r="10" spans="1:4" ht="30.75" thickBot="1">
      <c r="A10" s="395"/>
      <c r="B10" s="398"/>
      <c r="C10" s="67" t="s">
        <v>370</v>
      </c>
      <c r="D10" s="68" t="s">
        <v>140</v>
      </c>
    </row>
    <row r="11" spans="1:4" ht="30.75" customHeight="1" thickBot="1">
      <c r="A11" s="396"/>
      <c r="B11" s="399"/>
      <c r="C11" s="67" t="s">
        <v>394</v>
      </c>
      <c r="D11" s="68" t="s">
        <v>141</v>
      </c>
    </row>
    <row r="12" spans="1:4" ht="15">
      <c r="A12" s="57"/>
      <c r="B12" s="57"/>
      <c r="C12" s="57"/>
      <c r="D12" s="69"/>
    </row>
    <row r="13" spans="1:4" ht="15">
      <c r="A13" s="382"/>
      <c r="B13" s="382"/>
      <c r="C13" s="382"/>
      <c r="D13" s="382"/>
    </row>
  </sheetData>
  <sheetProtection/>
  <mergeCells count="5">
    <mergeCell ref="A3:D3"/>
    <mergeCell ref="A5:A11"/>
    <mergeCell ref="B5:B11"/>
    <mergeCell ref="A13:D13"/>
    <mergeCell ref="C2:D2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4">
      <selection activeCell="B11" sqref="B11"/>
    </sheetView>
  </sheetViews>
  <sheetFormatPr defaultColWidth="9.00390625" defaultRowHeight="12.75"/>
  <cols>
    <col min="1" max="1" width="15.00390625" style="0" customWidth="1"/>
    <col min="2" max="2" width="32.75390625" style="0" customWidth="1"/>
    <col min="3" max="3" width="61.875" style="0" customWidth="1"/>
  </cols>
  <sheetData>
    <row r="1" spans="1:3" ht="15">
      <c r="A1" s="52"/>
      <c r="B1" s="131"/>
      <c r="C1" s="132" t="s">
        <v>167</v>
      </c>
    </row>
    <row r="2" spans="1:4" ht="59.25" customHeight="1">
      <c r="A2" s="51"/>
      <c r="B2" s="378" t="str">
        <f>прилож1!C4</f>
        <v>к  решению Думы МО "Гаханское"  № 103 от 20 сентября  2022 г. "О ВНЕСЕНИИ ИЗМЕНЕНИЙ В РЕШЕНИЕ ДУМЫ МУНИЦИПАЛЬНОГО ОБРАЗОВАНИЯ «ГАХАНСКОЕ» ОТ 23.12.2021 Г. № 93 «О БЮДЖЕТЕ МУНИЦИПАЛЬНОГО ОБРАЗОВАНИЯ «ГАХАНСКОЕ» НА 2022 ГОД И ПЛАНОВЫЙ ПЕРИОД 2023-2024 ГГ"</v>
      </c>
      <c r="C2" s="378"/>
      <c r="D2" s="53"/>
    </row>
    <row r="3" spans="1:3" ht="47.25" customHeight="1" thickBot="1">
      <c r="A3" s="400" t="s">
        <v>340</v>
      </c>
      <c r="B3" s="400"/>
      <c r="C3" s="400"/>
    </row>
    <row r="4" spans="1:3" ht="39.75" customHeight="1" thickBot="1">
      <c r="A4" s="401" t="s">
        <v>201</v>
      </c>
      <c r="B4" s="401"/>
      <c r="C4" s="402" t="s">
        <v>518</v>
      </c>
    </row>
    <row r="5" spans="1:3" ht="51" customHeight="1" thickBot="1">
      <c r="A5" s="94" t="s">
        <v>202</v>
      </c>
      <c r="B5" s="62" t="s">
        <v>203</v>
      </c>
      <c r="C5" s="403"/>
    </row>
    <row r="6" spans="1:3" ht="32.25" thickBot="1">
      <c r="A6" s="63" t="s">
        <v>306</v>
      </c>
      <c r="B6" s="62"/>
      <c r="C6" s="64" t="s">
        <v>304</v>
      </c>
    </row>
    <row r="7" spans="1:3" ht="68.25" thickBot="1">
      <c r="A7" s="80" t="s">
        <v>306</v>
      </c>
      <c r="B7" s="65" t="s">
        <v>341</v>
      </c>
      <c r="C7" s="81" t="s">
        <v>342</v>
      </c>
    </row>
    <row r="8" spans="1:3" ht="35.25" customHeight="1" thickBot="1">
      <c r="A8" s="80" t="s">
        <v>306</v>
      </c>
      <c r="B8" s="65" t="s">
        <v>208</v>
      </c>
      <c r="C8" s="82" t="s">
        <v>209</v>
      </c>
    </row>
    <row r="9" spans="1:3" ht="30.75" thickBot="1">
      <c r="A9" s="83">
        <v>250</v>
      </c>
      <c r="B9" s="84" t="s">
        <v>290</v>
      </c>
      <c r="C9" s="82" t="s">
        <v>205</v>
      </c>
    </row>
    <row r="10" spans="1:3" ht="21" customHeight="1" thickBot="1">
      <c r="A10" s="83">
        <v>250</v>
      </c>
      <c r="B10" s="123" t="s">
        <v>291</v>
      </c>
      <c r="C10" s="82" t="s">
        <v>206</v>
      </c>
    </row>
    <row r="11" spans="1:3" ht="95.25" customHeight="1" thickBot="1">
      <c r="A11" s="122">
        <v>250</v>
      </c>
      <c r="B11" s="65" t="s">
        <v>477</v>
      </c>
      <c r="C11" s="82" t="s">
        <v>478</v>
      </c>
    </row>
    <row r="12" spans="1:3" ht="32.25" thickBot="1">
      <c r="A12" s="85" t="s">
        <v>307</v>
      </c>
      <c r="B12" s="83"/>
      <c r="C12" s="64" t="s">
        <v>305</v>
      </c>
    </row>
    <row r="13" spans="1:3" ht="30.75" thickBot="1">
      <c r="A13" s="86" t="s">
        <v>307</v>
      </c>
      <c r="B13" s="84" t="s">
        <v>204</v>
      </c>
      <c r="C13" s="82" t="s">
        <v>205</v>
      </c>
    </row>
    <row r="14" spans="1:3" ht="30.75" thickBot="1">
      <c r="A14" s="86" t="s">
        <v>307</v>
      </c>
      <c r="B14" s="84" t="s">
        <v>319</v>
      </c>
      <c r="C14" s="82" t="s">
        <v>277</v>
      </c>
    </row>
    <row r="15" spans="1:3" ht="49.5" customHeight="1" thickBot="1">
      <c r="A15" s="86" t="s">
        <v>307</v>
      </c>
      <c r="B15" s="84" t="s">
        <v>320</v>
      </c>
      <c r="C15" s="125" t="s">
        <v>271</v>
      </c>
    </row>
    <row r="16" spans="1:3" ht="49.5" customHeight="1" thickBot="1">
      <c r="A16" s="86" t="s">
        <v>307</v>
      </c>
      <c r="B16" s="124" t="s">
        <v>511</v>
      </c>
      <c r="C16" s="127" t="s">
        <v>327</v>
      </c>
    </row>
    <row r="17" spans="1:3" ht="49.5" customHeight="1" thickBot="1">
      <c r="A17" s="86" t="s">
        <v>357</v>
      </c>
      <c r="B17" s="84" t="s">
        <v>358</v>
      </c>
      <c r="C17" s="126" t="str">
        <f>прилож1!C43</f>
        <v>Субсидии бюджетам сельских поселений на  реализацию программ формирования современной городской среды</v>
      </c>
    </row>
    <row r="18" spans="1:3" ht="36" customHeight="1" thickBot="1">
      <c r="A18" s="86" t="s">
        <v>307</v>
      </c>
      <c r="B18" s="84" t="s">
        <v>321</v>
      </c>
      <c r="C18" s="87" t="s">
        <v>272</v>
      </c>
    </row>
    <row r="19" spans="1:3" ht="63" customHeight="1" thickBot="1">
      <c r="A19" s="86" t="s">
        <v>307</v>
      </c>
      <c r="B19" s="84" t="s">
        <v>322</v>
      </c>
      <c r="C19" s="82" t="s">
        <v>273</v>
      </c>
    </row>
    <row r="20" spans="1:3" ht="54" customHeight="1" thickBot="1">
      <c r="A20" s="86" t="s">
        <v>307</v>
      </c>
      <c r="B20" s="90" t="s">
        <v>344</v>
      </c>
      <c r="C20" s="79" t="s">
        <v>274</v>
      </c>
    </row>
    <row r="21" spans="1:3" ht="35.25" customHeight="1" thickBot="1">
      <c r="A21" s="86" t="s">
        <v>307</v>
      </c>
      <c r="B21" s="84" t="s">
        <v>323</v>
      </c>
      <c r="C21" s="87" t="s">
        <v>275</v>
      </c>
    </row>
    <row r="22" spans="1:3" ht="117.75" customHeight="1" thickBot="1">
      <c r="A22" s="86" t="s">
        <v>307</v>
      </c>
      <c r="B22" s="128" t="s">
        <v>343</v>
      </c>
      <c r="C22" s="82" t="s">
        <v>207</v>
      </c>
    </row>
    <row r="23" spans="1:3" ht="15">
      <c r="A23" s="404"/>
      <c r="B23" s="404"/>
      <c r="C23" s="404"/>
    </row>
    <row r="24" spans="1:3" ht="15">
      <c r="A24" s="57"/>
      <c r="B24" s="57"/>
      <c r="C24" s="57"/>
    </row>
    <row r="25" spans="1:3" ht="15">
      <c r="A25" s="57"/>
      <c r="B25" s="57"/>
      <c r="C25" s="57"/>
    </row>
  </sheetData>
  <sheetProtection/>
  <mergeCells count="5">
    <mergeCell ref="A3:C3"/>
    <mergeCell ref="A4:B4"/>
    <mergeCell ref="C4:C5"/>
    <mergeCell ref="A23:C23"/>
    <mergeCell ref="B2:C2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D41" sqref="D41"/>
    </sheetView>
  </sheetViews>
  <sheetFormatPr defaultColWidth="9.00390625" defaultRowHeight="12.75"/>
  <cols>
    <col min="1" max="1" width="33.375" style="0" customWidth="1"/>
    <col min="2" max="2" width="0.74609375" style="0" hidden="1" customWidth="1"/>
    <col min="3" max="3" width="65.625" style="0" customWidth="1"/>
    <col min="4" max="4" width="19.25390625" style="0" customWidth="1"/>
    <col min="5" max="5" width="19.00390625" style="0" customWidth="1"/>
    <col min="6" max="6" width="20.375" style="0" customWidth="1"/>
    <col min="7" max="7" width="13.125" style="0" customWidth="1"/>
    <col min="8" max="8" width="26.375" style="0" customWidth="1"/>
  </cols>
  <sheetData>
    <row r="1" spans="1:4" ht="12.75">
      <c r="A1" s="420"/>
      <c r="B1" s="421"/>
      <c r="C1" s="421"/>
      <c r="D1" s="421"/>
    </row>
    <row r="2" spans="1:4" ht="12.75">
      <c r="A2" s="420"/>
      <c r="B2" s="421"/>
      <c r="C2" s="421"/>
      <c r="D2" s="421"/>
    </row>
    <row r="3" spans="1:6" ht="15">
      <c r="A3" s="420"/>
      <c r="B3" s="363" t="s">
        <v>166</v>
      </c>
      <c r="C3" s="363"/>
      <c r="D3" s="363"/>
      <c r="E3" s="364"/>
      <c r="F3" s="364"/>
    </row>
    <row r="4" spans="1:6" ht="55.5" customHeight="1">
      <c r="A4" s="43"/>
      <c r="B4" s="42"/>
      <c r="C4" s="412" t="s">
        <v>557</v>
      </c>
      <c r="D4" s="412"/>
      <c r="E4" s="412"/>
      <c r="F4" s="412"/>
    </row>
    <row r="5" spans="1:6" ht="33" customHeight="1">
      <c r="A5" s="376" t="s">
        <v>346</v>
      </c>
      <c r="B5" s="376"/>
      <c r="C5" s="376"/>
      <c r="D5" s="376"/>
      <c r="E5" s="413"/>
      <c r="F5" s="413"/>
    </row>
    <row r="6" spans="1:6" ht="23.25" customHeight="1">
      <c r="A6" s="74"/>
      <c r="B6" s="74"/>
      <c r="C6" s="74"/>
      <c r="D6" s="74"/>
      <c r="E6" s="73"/>
      <c r="F6" s="73"/>
    </row>
    <row r="7" spans="1:6" ht="14.25" thickBot="1">
      <c r="A7" s="424"/>
      <c r="B7" s="424"/>
      <c r="C7" s="59"/>
      <c r="D7" s="411" t="s">
        <v>112</v>
      </c>
      <c r="E7" s="411"/>
      <c r="F7" s="411"/>
    </row>
    <row r="8" spans="1:6" ht="16.5" thickBot="1">
      <c r="A8" s="425" t="s">
        <v>64</v>
      </c>
      <c r="B8" s="426"/>
      <c r="C8" s="429" t="s">
        <v>147</v>
      </c>
      <c r="D8" s="431" t="s">
        <v>473</v>
      </c>
      <c r="E8" s="414" t="s">
        <v>276</v>
      </c>
      <c r="F8" s="415"/>
    </row>
    <row r="9" spans="1:6" ht="16.5" thickBot="1">
      <c r="A9" s="427"/>
      <c r="B9" s="428"/>
      <c r="C9" s="430"/>
      <c r="D9" s="432"/>
      <c r="E9" s="289" t="s">
        <v>348</v>
      </c>
      <c r="F9" s="290" t="s">
        <v>457</v>
      </c>
    </row>
    <row r="10" spans="1:6" ht="18" customHeight="1" thickBot="1">
      <c r="A10" s="422" t="s">
        <v>48</v>
      </c>
      <c r="B10" s="423"/>
      <c r="C10" s="291" t="s">
        <v>49</v>
      </c>
      <c r="D10" s="292">
        <f>SUM(D12+D22+D20+D15+D29)</f>
        <v>5218230</v>
      </c>
      <c r="E10" s="292">
        <f>SUM(E12+E22+E20+E15+E29)</f>
        <v>5223610</v>
      </c>
      <c r="F10" s="293">
        <f>SUM(F12+F22+F20+F15+F29)</f>
        <v>5399950</v>
      </c>
    </row>
    <row r="11" spans="1:6" ht="15.75" customHeight="1" thickBot="1">
      <c r="A11" s="407" t="s">
        <v>50</v>
      </c>
      <c r="B11" s="408"/>
      <c r="C11" s="296" t="s">
        <v>152</v>
      </c>
      <c r="D11" s="297">
        <f aca="true" t="shared" si="0" ref="D11:F13">SUM(D12)</f>
        <v>2800000</v>
      </c>
      <c r="E11" s="297">
        <f t="shared" si="0"/>
        <v>2700000</v>
      </c>
      <c r="F11" s="298">
        <f t="shared" si="0"/>
        <v>2700000</v>
      </c>
    </row>
    <row r="12" spans="1:6" ht="17.25" customHeight="1" thickBot="1">
      <c r="A12" s="407" t="s">
        <v>52</v>
      </c>
      <c r="B12" s="408"/>
      <c r="C12" s="299" t="s">
        <v>51</v>
      </c>
      <c r="D12" s="297">
        <f t="shared" si="0"/>
        <v>2800000</v>
      </c>
      <c r="E12" s="297">
        <f t="shared" si="0"/>
        <v>2700000</v>
      </c>
      <c r="F12" s="300">
        <f t="shared" si="0"/>
        <v>2700000</v>
      </c>
    </row>
    <row r="13" spans="1:8" ht="17.25" customHeight="1" thickBot="1">
      <c r="A13" s="407" t="s">
        <v>53</v>
      </c>
      <c r="B13" s="408"/>
      <c r="C13" s="299" t="s">
        <v>54</v>
      </c>
      <c r="D13" s="297">
        <f t="shared" si="0"/>
        <v>2800000</v>
      </c>
      <c r="E13" s="297">
        <f>E14</f>
        <v>2700000</v>
      </c>
      <c r="F13" s="297">
        <f>F14</f>
        <v>2700000</v>
      </c>
      <c r="G13" s="443"/>
      <c r="H13" s="444"/>
    </row>
    <row r="14" spans="1:8" ht="47.25" customHeight="1" thickBot="1">
      <c r="A14" s="407" t="s">
        <v>151</v>
      </c>
      <c r="B14" s="408"/>
      <c r="C14" s="301" t="s">
        <v>560</v>
      </c>
      <c r="D14" s="302">
        <f>2500000+300000</f>
        <v>2800000</v>
      </c>
      <c r="E14" s="303">
        <v>2700000</v>
      </c>
      <c r="F14" s="304">
        <v>2700000</v>
      </c>
      <c r="G14" s="445"/>
      <c r="H14" s="444"/>
    </row>
    <row r="15" spans="1:8" ht="36.75" customHeight="1" thickBot="1">
      <c r="A15" s="305" t="s">
        <v>324</v>
      </c>
      <c r="B15" s="306"/>
      <c r="C15" s="307" t="s">
        <v>185</v>
      </c>
      <c r="D15" s="308">
        <f>SUM(D16:D19)</f>
        <v>2101230</v>
      </c>
      <c r="E15" s="308">
        <f>SUM(E16:E19)</f>
        <v>2202610</v>
      </c>
      <c r="F15" s="309">
        <f>SUM(F16:F19)</f>
        <v>2378950</v>
      </c>
      <c r="G15" s="49"/>
      <c r="H15" s="50"/>
    </row>
    <row r="16" spans="1:8" ht="80.25" customHeight="1" thickBot="1">
      <c r="A16" s="310" t="s">
        <v>171</v>
      </c>
      <c r="B16" s="311"/>
      <c r="C16" s="312" t="s">
        <v>180</v>
      </c>
      <c r="D16" s="313">
        <v>950030</v>
      </c>
      <c r="E16" s="149">
        <v>985440</v>
      </c>
      <c r="F16" s="314">
        <v>1047420</v>
      </c>
      <c r="G16" s="49"/>
      <c r="H16" s="50"/>
    </row>
    <row r="17" spans="1:8" ht="86.25" customHeight="1" thickBot="1">
      <c r="A17" s="315" t="s">
        <v>172</v>
      </c>
      <c r="B17" s="316"/>
      <c r="C17" s="317" t="s">
        <v>181</v>
      </c>
      <c r="D17" s="318">
        <v>5260</v>
      </c>
      <c r="E17" s="319">
        <v>5520</v>
      </c>
      <c r="F17" s="139">
        <v>6060</v>
      </c>
      <c r="G17" s="49"/>
      <c r="H17" s="50"/>
    </row>
    <row r="18" spans="1:8" ht="69.75" customHeight="1" thickBot="1">
      <c r="A18" s="315" t="s">
        <v>173</v>
      </c>
      <c r="B18" s="316"/>
      <c r="C18" s="317" t="s">
        <v>183</v>
      </c>
      <c r="D18" s="318">
        <v>1265070</v>
      </c>
      <c r="E18" s="303">
        <v>1333760</v>
      </c>
      <c r="F18" s="320">
        <v>1459890</v>
      </c>
      <c r="G18" s="49"/>
      <c r="H18" s="50"/>
    </row>
    <row r="19" spans="1:8" ht="44.25" customHeight="1" thickBot="1">
      <c r="A19" s="315" t="s">
        <v>174</v>
      </c>
      <c r="B19" s="316"/>
      <c r="C19" s="317" t="s">
        <v>182</v>
      </c>
      <c r="D19" s="318">
        <v>-119130</v>
      </c>
      <c r="E19" s="319">
        <v>-122110</v>
      </c>
      <c r="F19" s="139">
        <v>-134420</v>
      </c>
      <c r="G19" s="49"/>
      <c r="H19" s="50"/>
    </row>
    <row r="20" spans="1:6" ht="16.5" thickBot="1">
      <c r="A20" s="407" t="s">
        <v>121</v>
      </c>
      <c r="B20" s="408"/>
      <c r="C20" s="299" t="s">
        <v>129</v>
      </c>
      <c r="D20" s="297">
        <f>D21</f>
        <v>17000</v>
      </c>
      <c r="E20" s="297">
        <f>E21</f>
        <v>17000</v>
      </c>
      <c r="F20" s="298">
        <f>F21</f>
        <v>17000</v>
      </c>
    </row>
    <row r="21" spans="1:6" ht="15.75" customHeight="1" thickBot="1">
      <c r="A21" s="294" t="s">
        <v>142</v>
      </c>
      <c r="B21" s="295"/>
      <c r="C21" s="321" t="s">
        <v>122</v>
      </c>
      <c r="D21" s="297">
        <v>17000</v>
      </c>
      <c r="E21" s="319">
        <v>17000</v>
      </c>
      <c r="F21" s="139">
        <v>17000</v>
      </c>
    </row>
    <row r="22" spans="1:6" ht="16.5" thickBot="1">
      <c r="A22" s="407" t="s">
        <v>55</v>
      </c>
      <c r="B22" s="408"/>
      <c r="C22" s="299" t="s">
        <v>56</v>
      </c>
      <c r="D22" s="297">
        <f>SUM(D23+D25)</f>
        <v>300000</v>
      </c>
      <c r="E22" s="322">
        <f>SUM(E23+E25)</f>
        <v>304000</v>
      </c>
      <c r="F22" s="298">
        <f>SUM(F23+F25)</f>
        <v>304000</v>
      </c>
    </row>
    <row r="23" spans="1:8" ht="16.5" thickBot="1">
      <c r="A23" s="407" t="s">
        <v>114</v>
      </c>
      <c r="B23" s="408"/>
      <c r="C23" s="299" t="s">
        <v>115</v>
      </c>
      <c r="D23" s="297">
        <f>D24</f>
        <v>46000</v>
      </c>
      <c r="E23" s="297">
        <f>E24</f>
        <v>50000</v>
      </c>
      <c r="F23" s="300">
        <f>F24</f>
        <v>50000</v>
      </c>
      <c r="G23" s="446"/>
      <c r="H23" s="447"/>
    </row>
    <row r="24" spans="1:8" ht="44.25" customHeight="1" thickBot="1">
      <c r="A24" s="409" t="s">
        <v>80</v>
      </c>
      <c r="B24" s="410"/>
      <c r="C24" s="324" t="s">
        <v>143</v>
      </c>
      <c r="D24" s="318">
        <v>46000</v>
      </c>
      <c r="E24" s="325">
        <v>50000</v>
      </c>
      <c r="F24" s="326">
        <v>50000</v>
      </c>
      <c r="G24" s="445"/>
      <c r="H24" s="444"/>
    </row>
    <row r="25" spans="1:6" ht="16.5" thickBot="1">
      <c r="A25" s="407" t="s">
        <v>57</v>
      </c>
      <c r="B25" s="408"/>
      <c r="C25" s="299" t="s">
        <v>58</v>
      </c>
      <c r="D25" s="297">
        <f>SUM(D26+D28)</f>
        <v>254000</v>
      </c>
      <c r="E25" s="322">
        <f>SUM(E26+E28)</f>
        <v>254000</v>
      </c>
      <c r="F25" s="298">
        <f>SUM(F26+F28)</f>
        <v>254000</v>
      </c>
    </row>
    <row r="26" spans="1:8" ht="63.75" thickBot="1">
      <c r="A26" s="407" t="s">
        <v>116</v>
      </c>
      <c r="B26" s="408"/>
      <c r="C26" s="299" t="s">
        <v>117</v>
      </c>
      <c r="D26" s="318">
        <f>SUM(D27)</f>
        <v>44000</v>
      </c>
      <c r="E26" s="318">
        <f>SUM(E27)</f>
        <v>44000</v>
      </c>
      <c r="F26" s="304">
        <f>SUM(F27)</f>
        <v>44000</v>
      </c>
      <c r="G26" s="445"/>
      <c r="H26" s="444"/>
    </row>
    <row r="27" spans="1:8" ht="59.25" customHeight="1" thickBot="1">
      <c r="A27" s="409" t="s">
        <v>216</v>
      </c>
      <c r="B27" s="410"/>
      <c r="C27" s="324" t="s">
        <v>118</v>
      </c>
      <c r="D27" s="318">
        <v>44000</v>
      </c>
      <c r="E27" s="319">
        <v>44000</v>
      </c>
      <c r="F27" s="139">
        <v>44000</v>
      </c>
      <c r="G27" s="448"/>
      <c r="H27" s="447"/>
    </row>
    <row r="28" spans="1:8" ht="79.5" customHeight="1" thickBot="1">
      <c r="A28" s="327" t="s">
        <v>217</v>
      </c>
      <c r="B28" s="323"/>
      <c r="C28" s="324" t="s">
        <v>170</v>
      </c>
      <c r="D28" s="318">
        <v>210000</v>
      </c>
      <c r="E28" s="139">
        <f>D28</f>
        <v>210000</v>
      </c>
      <c r="F28" s="139">
        <f>E28</f>
        <v>210000</v>
      </c>
      <c r="G28" s="48"/>
      <c r="H28" s="47"/>
    </row>
    <row r="29" spans="1:8" ht="38.25" customHeight="1" thickBot="1">
      <c r="A29" s="328" t="s">
        <v>283</v>
      </c>
      <c r="B29" s="323"/>
      <c r="C29" s="329" t="s">
        <v>282</v>
      </c>
      <c r="D29" s="318">
        <f aca="true" t="shared" si="1" ref="D29:F31">D30</f>
        <v>0</v>
      </c>
      <c r="E29" s="318">
        <f t="shared" si="1"/>
        <v>0</v>
      </c>
      <c r="F29" s="139">
        <f t="shared" si="1"/>
        <v>0</v>
      </c>
      <c r="G29" s="48"/>
      <c r="H29" s="47"/>
    </row>
    <row r="30" spans="1:8" ht="54" customHeight="1" thickBot="1">
      <c r="A30" s="330" t="s">
        <v>285</v>
      </c>
      <c r="B30" s="323"/>
      <c r="C30" s="331" t="s">
        <v>284</v>
      </c>
      <c r="D30" s="318">
        <f t="shared" si="1"/>
        <v>0</v>
      </c>
      <c r="E30" s="318">
        <f t="shared" si="1"/>
        <v>0</v>
      </c>
      <c r="F30" s="139">
        <f t="shared" si="1"/>
        <v>0</v>
      </c>
      <c r="G30" s="48"/>
      <c r="H30" s="47"/>
    </row>
    <row r="31" spans="1:8" ht="64.5" customHeight="1" thickBot="1">
      <c r="A31" s="332" t="s">
        <v>287</v>
      </c>
      <c r="B31" s="323"/>
      <c r="C31" s="331" t="s">
        <v>286</v>
      </c>
      <c r="D31" s="318">
        <f t="shared" si="1"/>
        <v>0</v>
      </c>
      <c r="E31" s="318">
        <f t="shared" si="1"/>
        <v>0</v>
      </c>
      <c r="F31" s="139">
        <f t="shared" si="1"/>
        <v>0</v>
      </c>
      <c r="G31" s="48"/>
      <c r="H31" s="47"/>
    </row>
    <row r="32" spans="1:8" ht="74.25" customHeight="1" thickBot="1">
      <c r="A32" s="333" t="s">
        <v>289</v>
      </c>
      <c r="B32" s="323"/>
      <c r="C32" s="334" t="s">
        <v>288</v>
      </c>
      <c r="D32" s="318">
        <v>0</v>
      </c>
      <c r="E32" s="139">
        <v>0</v>
      </c>
      <c r="F32" s="139">
        <v>0</v>
      </c>
      <c r="G32" s="48"/>
      <c r="H32" s="47"/>
    </row>
    <row r="33" spans="1:8" ht="75" customHeight="1" thickBot="1">
      <c r="A33" s="332" t="s">
        <v>545</v>
      </c>
      <c r="B33" s="323"/>
      <c r="C33" s="334" t="s">
        <v>547</v>
      </c>
      <c r="D33" s="318">
        <v>0</v>
      </c>
      <c r="E33" s="139">
        <v>0</v>
      </c>
      <c r="F33" s="139">
        <v>0</v>
      </c>
      <c r="G33" s="48"/>
      <c r="H33" s="47"/>
    </row>
    <row r="34" spans="1:8" ht="69" customHeight="1" thickBot="1">
      <c r="A34" s="333" t="s">
        <v>546</v>
      </c>
      <c r="B34" s="323"/>
      <c r="C34" s="334" t="s">
        <v>342</v>
      </c>
      <c r="D34" s="318">
        <v>0</v>
      </c>
      <c r="E34" s="303">
        <v>0</v>
      </c>
      <c r="F34" s="320">
        <v>0</v>
      </c>
      <c r="G34" s="48"/>
      <c r="H34" s="47"/>
    </row>
    <row r="35" spans="1:6" ht="18" customHeight="1" thickBot="1">
      <c r="A35" s="433"/>
      <c r="B35" s="434"/>
      <c r="C35" s="335" t="s">
        <v>144</v>
      </c>
      <c r="D35" s="292">
        <f>D10</f>
        <v>5218230</v>
      </c>
      <c r="E35" s="308">
        <f>E10</f>
        <v>5223610</v>
      </c>
      <c r="F35" s="309">
        <f>F10</f>
        <v>5399950</v>
      </c>
    </row>
    <row r="36" spans="1:6" ht="18" customHeight="1" thickBot="1">
      <c r="A36" s="435" t="s">
        <v>325</v>
      </c>
      <c r="B36" s="436"/>
      <c r="C36" s="336" t="s">
        <v>59</v>
      </c>
      <c r="D36" s="292">
        <f>SUM(D37)</f>
        <v>27997150</v>
      </c>
      <c r="E36" s="308">
        <f>SUM(E37)</f>
        <v>10572000</v>
      </c>
      <c r="F36" s="309">
        <f>SUM(F37)</f>
        <v>8794600</v>
      </c>
    </row>
    <row r="37" spans="1:6" ht="33.75" customHeight="1" thickBot="1">
      <c r="A37" s="407" t="s">
        <v>326</v>
      </c>
      <c r="B37" s="408"/>
      <c r="C37" s="337" t="s">
        <v>150</v>
      </c>
      <c r="D37" s="297">
        <f>SUM(D38+D42+D45+D50)</f>
        <v>27997150</v>
      </c>
      <c r="E37" s="322">
        <f>SUM(E38+E42+E45)</f>
        <v>10572000</v>
      </c>
      <c r="F37" s="298">
        <f>SUM(F38+F42+F45)</f>
        <v>8794600</v>
      </c>
    </row>
    <row r="38" spans="1:6" ht="33" customHeight="1" thickBot="1">
      <c r="A38" s="407" t="s">
        <v>336</v>
      </c>
      <c r="B38" s="408"/>
      <c r="C38" s="299" t="s">
        <v>119</v>
      </c>
      <c r="D38" s="297">
        <f>SUM(D39+D41)+D40</f>
        <v>10200750</v>
      </c>
      <c r="E38" s="297">
        <f>SUM(E39+E41)+E40</f>
        <v>9764800</v>
      </c>
      <c r="F38" s="297">
        <f>SUM(F39+F41)+F40</f>
        <v>7982000</v>
      </c>
    </row>
    <row r="39" spans="1:6" s="89" customFormat="1" ht="32.25" customHeight="1" thickBot="1">
      <c r="A39" s="405" t="s">
        <v>335</v>
      </c>
      <c r="B39" s="406"/>
      <c r="C39" s="340" t="s">
        <v>328</v>
      </c>
      <c r="D39" s="341">
        <v>0</v>
      </c>
      <c r="E39" s="341">
        <v>0</v>
      </c>
      <c r="F39" s="342">
        <v>0</v>
      </c>
    </row>
    <row r="40" spans="1:6" s="89" customFormat="1" ht="32.25" customHeight="1" thickBot="1">
      <c r="A40" s="338" t="s">
        <v>479</v>
      </c>
      <c r="B40" s="339"/>
      <c r="C40" s="340" t="s">
        <v>271</v>
      </c>
      <c r="D40" s="341">
        <v>415920</v>
      </c>
      <c r="E40" s="341">
        <v>0</v>
      </c>
      <c r="F40" s="342">
        <v>0</v>
      </c>
    </row>
    <row r="41" spans="1:8" s="89" customFormat="1" ht="47.25" customHeight="1" thickBot="1">
      <c r="A41" s="405" t="s">
        <v>449</v>
      </c>
      <c r="B41" s="406"/>
      <c r="C41" s="340" t="s">
        <v>327</v>
      </c>
      <c r="D41" s="343">
        <f>8823400+3100+938300+20030</f>
        <v>9784830</v>
      </c>
      <c r="E41" s="344">
        <v>9764800</v>
      </c>
      <c r="F41" s="344">
        <v>7982000</v>
      </c>
      <c r="H41" s="89">
        <v>9764800</v>
      </c>
    </row>
    <row r="42" spans="1:8" s="89" customFormat="1" ht="48" customHeight="1" thickBot="1">
      <c r="A42" s="437" t="s">
        <v>355</v>
      </c>
      <c r="B42" s="438"/>
      <c r="C42" s="345" t="s">
        <v>120</v>
      </c>
      <c r="D42" s="346">
        <f>D43+D44</f>
        <v>17594200</v>
      </c>
      <c r="E42" s="346">
        <f>E43+E44</f>
        <v>611500</v>
      </c>
      <c r="F42" s="347">
        <f>F43+F44</f>
        <v>611500</v>
      </c>
      <c r="G42" s="439"/>
      <c r="H42" s="440"/>
    </row>
    <row r="43" spans="1:8" s="89" customFormat="1" ht="36.75" customHeight="1" hidden="1" thickBot="1">
      <c r="A43" s="338" t="s">
        <v>349</v>
      </c>
      <c r="B43" s="339"/>
      <c r="C43" s="340" t="s">
        <v>356</v>
      </c>
      <c r="D43" s="341">
        <v>0</v>
      </c>
      <c r="E43" s="341">
        <v>0</v>
      </c>
      <c r="F43" s="342">
        <v>0</v>
      </c>
      <c r="G43" s="91"/>
      <c r="H43" s="92"/>
    </row>
    <row r="44" spans="1:7" ht="26.25" customHeight="1" thickBot="1">
      <c r="A44" s="409" t="s">
        <v>337</v>
      </c>
      <c r="B44" s="410"/>
      <c r="C44" s="324" t="s">
        <v>272</v>
      </c>
      <c r="D44" s="341">
        <f>1254800+7200000+8000000+1139400</f>
        <v>17594200</v>
      </c>
      <c r="E44" s="343">
        <v>611500</v>
      </c>
      <c r="F44" s="344">
        <v>611500</v>
      </c>
      <c r="G44" s="46"/>
    </row>
    <row r="45" spans="1:6" ht="33.75" customHeight="1" thickBot="1">
      <c r="A45" s="407" t="s">
        <v>352</v>
      </c>
      <c r="B45" s="408"/>
      <c r="C45" s="348" t="s">
        <v>278</v>
      </c>
      <c r="D45" s="349">
        <f>SUM(D46+D48)</f>
        <v>202200</v>
      </c>
      <c r="E45" s="349">
        <f>SUM(E46+E48)</f>
        <v>195700</v>
      </c>
      <c r="F45" s="350">
        <f>SUM(F46+F48)</f>
        <v>201100</v>
      </c>
    </row>
    <row r="46" spans="1:6" ht="44.25" customHeight="1" thickBot="1">
      <c r="A46" s="407" t="s">
        <v>351</v>
      </c>
      <c r="B46" s="408"/>
      <c r="C46" s="348" t="s">
        <v>149</v>
      </c>
      <c r="D46" s="349">
        <f>SUM(D47)</f>
        <v>151600</v>
      </c>
      <c r="E46" s="349">
        <f>E47</f>
        <v>147700</v>
      </c>
      <c r="F46" s="350">
        <f>F47</f>
        <v>153100</v>
      </c>
    </row>
    <row r="47" spans="1:6" s="89" customFormat="1" ht="43.5" customHeight="1" thickBot="1">
      <c r="A47" s="405" t="s">
        <v>350</v>
      </c>
      <c r="B47" s="406"/>
      <c r="C47" s="340" t="s">
        <v>273</v>
      </c>
      <c r="D47" s="341">
        <f>143400-600+8800</f>
        <v>151600</v>
      </c>
      <c r="E47" s="351">
        <f>148400-700</f>
        <v>147700</v>
      </c>
      <c r="F47" s="352">
        <f>153700-600</f>
        <v>153100</v>
      </c>
    </row>
    <row r="48" spans="1:6" ht="53.25" customHeight="1" thickBot="1">
      <c r="A48" s="407" t="s">
        <v>338</v>
      </c>
      <c r="B48" s="408"/>
      <c r="C48" s="337" t="s">
        <v>148</v>
      </c>
      <c r="D48" s="322">
        <f>D49</f>
        <v>50600</v>
      </c>
      <c r="E48" s="322">
        <f>E49</f>
        <v>48000</v>
      </c>
      <c r="F48" s="298">
        <f>F49</f>
        <v>48000</v>
      </c>
    </row>
    <row r="49" spans="1:8" ht="47.25" customHeight="1" thickBot="1">
      <c r="A49" s="409" t="s">
        <v>339</v>
      </c>
      <c r="B49" s="410"/>
      <c r="C49" s="317" t="s">
        <v>274</v>
      </c>
      <c r="D49" s="343">
        <f>47300+700+2600</f>
        <v>50600</v>
      </c>
      <c r="E49" s="351">
        <f>47300+700</f>
        <v>48000</v>
      </c>
      <c r="F49" s="344">
        <f>47300+700</f>
        <v>48000</v>
      </c>
      <c r="G49" s="441"/>
      <c r="H49" s="442"/>
    </row>
    <row r="50" spans="1:8" ht="29.25" customHeight="1" thickBot="1">
      <c r="A50" s="407" t="s">
        <v>353</v>
      </c>
      <c r="B50" s="408"/>
      <c r="C50" s="353" t="s">
        <v>252</v>
      </c>
      <c r="D50" s="322">
        <v>0</v>
      </c>
      <c r="E50" s="322">
        <f>E51</f>
        <v>0</v>
      </c>
      <c r="F50" s="298">
        <f>F51</f>
        <v>0</v>
      </c>
      <c r="G50" s="49"/>
      <c r="H50" s="71"/>
    </row>
    <row r="51" spans="1:8" ht="33.75" customHeight="1" thickBot="1">
      <c r="A51" s="409" t="s">
        <v>354</v>
      </c>
      <c r="B51" s="410"/>
      <c r="C51" s="354" t="s">
        <v>281</v>
      </c>
      <c r="D51" s="319">
        <v>0</v>
      </c>
      <c r="E51" s="139">
        <v>0</v>
      </c>
      <c r="F51" s="139">
        <v>0</v>
      </c>
      <c r="G51" s="49"/>
      <c r="H51" s="71"/>
    </row>
    <row r="52" spans="1:6" ht="21" customHeight="1" thickBot="1">
      <c r="A52" s="433"/>
      <c r="B52" s="434"/>
      <c r="C52" s="355" t="s">
        <v>60</v>
      </c>
      <c r="D52" s="308">
        <f>SUM(D35+D36)</f>
        <v>33215380</v>
      </c>
      <c r="E52" s="292">
        <f>SUM(E35+E36)</f>
        <v>15795610</v>
      </c>
      <c r="F52" s="356">
        <f>SUM(F35+F36)</f>
        <v>14194550</v>
      </c>
    </row>
    <row r="53" spans="1:8" ht="23.25" customHeight="1" thickBot="1">
      <c r="A53" s="409"/>
      <c r="B53" s="410"/>
      <c r="C53" s="357" t="s">
        <v>480</v>
      </c>
      <c r="D53" s="358">
        <f>260912+1083858.12</f>
        <v>1344770.12</v>
      </c>
      <c r="E53" s="358">
        <f>E10*5%+0.5</f>
        <v>261181</v>
      </c>
      <c r="F53" s="359">
        <f>F10*5%+0.5</f>
        <v>269998</v>
      </c>
      <c r="H53" s="98"/>
    </row>
    <row r="54" spans="1:6" ht="26.25" customHeight="1" thickBot="1">
      <c r="A54" s="409"/>
      <c r="B54" s="410"/>
      <c r="C54" s="360" t="s">
        <v>111</v>
      </c>
      <c r="D54" s="322">
        <f>SUM(D35+D36+D53)</f>
        <v>34560150.12</v>
      </c>
      <c r="E54" s="322">
        <f>SUM(E35+E36+E53)</f>
        <v>16056791</v>
      </c>
      <c r="F54" s="298">
        <f>SUM(F35+F36+F53)</f>
        <v>14464548</v>
      </c>
    </row>
    <row r="55" spans="1:6" ht="13.5">
      <c r="A55" s="60"/>
      <c r="B55" s="60"/>
      <c r="C55" s="61"/>
      <c r="D55" s="60"/>
      <c r="E55" s="56"/>
      <c r="F55" s="56"/>
    </row>
    <row r="56" spans="1:6" ht="13.5">
      <c r="A56" s="418"/>
      <c r="B56" s="418"/>
      <c r="C56" s="418"/>
      <c r="D56" s="419"/>
      <c r="E56" s="56"/>
      <c r="F56" s="56"/>
    </row>
    <row r="57" spans="1:4" ht="12.75">
      <c r="A57" s="44"/>
      <c r="B57" s="44"/>
      <c r="C57" s="44"/>
      <c r="D57" s="44"/>
    </row>
    <row r="58" ht="12.75">
      <c r="A58" s="45" t="s">
        <v>145</v>
      </c>
    </row>
    <row r="61" spans="3:4" ht="12.75">
      <c r="C61" s="416"/>
      <c r="D61" s="417"/>
    </row>
  </sheetData>
  <sheetProtection/>
  <mergeCells count="52">
    <mergeCell ref="G42:H42"/>
    <mergeCell ref="G49:H49"/>
    <mergeCell ref="G13:H13"/>
    <mergeCell ref="G14:H14"/>
    <mergeCell ref="G23:H23"/>
    <mergeCell ref="G24:H24"/>
    <mergeCell ref="G26:H26"/>
    <mergeCell ref="G27:H27"/>
    <mergeCell ref="A52:B52"/>
    <mergeCell ref="A53:B53"/>
    <mergeCell ref="A45:B45"/>
    <mergeCell ref="A48:B48"/>
    <mergeCell ref="A49:B49"/>
    <mergeCell ref="A46:B46"/>
    <mergeCell ref="A47:B47"/>
    <mergeCell ref="A51:B51"/>
    <mergeCell ref="A50:B50"/>
    <mergeCell ref="A44:B44"/>
    <mergeCell ref="A14:B14"/>
    <mergeCell ref="A20:B20"/>
    <mergeCell ref="A27:B27"/>
    <mergeCell ref="A35:B35"/>
    <mergeCell ref="A22:B22"/>
    <mergeCell ref="A36:B36"/>
    <mergeCell ref="A42:B42"/>
    <mergeCell ref="A25:B25"/>
    <mergeCell ref="A26:B26"/>
    <mergeCell ref="B2:D2"/>
    <mergeCell ref="A7:B7"/>
    <mergeCell ref="A8:B9"/>
    <mergeCell ref="C8:C9"/>
    <mergeCell ref="D8:D9"/>
    <mergeCell ref="A13:B13"/>
    <mergeCell ref="B3:F3"/>
    <mergeCell ref="A12:B12"/>
    <mergeCell ref="C61:D61"/>
    <mergeCell ref="A56:D56"/>
    <mergeCell ref="A54:B54"/>
    <mergeCell ref="A1:A3"/>
    <mergeCell ref="B1:D1"/>
    <mergeCell ref="A10:B10"/>
    <mergeCell ref="A37:B37"/>
    <mergeCell ref="A38:B38"/>
    <mergeCell ref="A41:B41"/>
    <mergeCell ref="A11:B11"/>
    <mergeCell ref="A39:B39"/>
    <mergeCell ref="A23:B23"/>
    <mergeCell ref="A24:B24"/>
    <mergeCell ref="D7:F7"/>
    <mergeCell ref="C4:F4"/>
    <mergeCell ref="A5:F5"/>
    <mergeCell ref="E8:F8"/>
  </mergeCells>
  <printOptions/>
  <pageMargins left="0.5905511811023623" right="0.35433070866141736" top="0.1968503937007874" bottom="0.2755905511811024" header="0.15748031496062992" footer="0.2362204724409449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1"/>
  <sheetViews>
    <sheetView zoomScale="85" zoomScaleNormal="85" zoomScalePageLayoutView="0" workbookViewId="0" topLeftCell="A1">
      <selection activeCell="H38" sqref="H38"/>
    </sheetView>
  </sheetViews>
  <sheetFormatPr defaultColWidth="9.00390625" defaultRowHeight="12.75"/>
  <cols>
    <col min="1" max="1" width="54.125" style="0" customWidth="1"/>
    <col min="2" max="2" width="8.875" style="0" customWidth="1"/>
    <col min="3" max="3" width="8.75390625" style="0" customWidth="1"/>
    <col min="4" max="4" width="9.75390625" style="0" customWidth="1"/>
    <col min="5" max="5" width="13.625" style="0" customWidth="1"/>
    <col min="6" max="6" width="9.25390625" style="0" customWidth="1"/>
    <col min="7" max="7" width="9.375" style="0" customWidth="1"/>
    <col min="8" max="8" width="13.00390625" style="0" customWidth="1"/>
  </cols>
  <sheetData>
    <row r="1" spans="5:8" ht="12.75">
      <c r="E1" s="450" t="s">
        <v>98</v>
      </c>
      <c r="F1" s="450"/>
      <c r="G1" s="450"/>
      <c r="H1" s="450"/>
    </row>
    <row r="2" spans="5:8" ht="12.75">
      <c r="E2" s="31" t="s">
        <v>66</v>
      </c>
      <c r="F2" s="31"/>
      <c r="G2" s="31"/>
      <c r="H2" s="31"/>
    </row>
    <row r="3" spans="1:8" ht="12.75">
      <c r="A3" s="27"/>
      <c r="E3" t="s">
        <v>99</v>
      </c>
      <c r="G3" s="31"/>
      <c r="H3" s="31"/>
    </row>
    <row r="4" spans="1:8" ht="12.75">
      <c r="A4" s="27"/>
      <c r="E4" t="s">
        <v>100</v>
      </c>
      <c r="G4" s="31"/>
      <c r="H4" s="31"/>
    </row>
    <row r="5" spans="5:8" ht="12.75">
      <c r="E5" s="31"/>
      <c r="F5" s="31"/>
      <c r="G5" s="37"/>
      <c r="H5" s="31"/>
    </row>
    <row r="6" spans="1:8" ht="27.75" customHeight="1">
      <c r="A6" s="449" t="s">
        <v>103</v>
      </c>
      <c r="B6" s="449"/>
      <c r="C6" s="449"/>
      <c r="D6" s="449"/>
      <c r="E6" s="449"/>
      <c r="F6" s="449"/>
      <c r="G6" s="449"/>
      <c r="H6" s="449"/>
    </row>
    <row r="7" ht="15.75" customHeight="1"/>
    <row r="8" spans="1:8" ht="12.75">
      <c r="A8" s="7"/>
      <c r="B8" s="8" t="s">
        <v>30</v>
      </c>
      <c r="C8" s="8"/>
      <c r="D8" s="8"/>
      <c r="E8" s="8"/>
      <c r="F8" s="9"/>
      <c r="G8" s="10"/>
      <c r="H8" s="10"/>
    </row>
    <row r="9" spans="1:8" ht="48.75" customHeight="1">
      <c r="A9" s="11" t="s">
        <v>31</v>
      </c>
      <c r="B9" s="30" t="s">
        <v>32</v>
      </c>
      <c r="C9" s="12" t="s">
        <v>33</v>
      </c>
      <c r="D9" s="12" t="s">
        <v>34</v>
      </c>
      <c r="E9" s="12" t="s">
        <v>35</v>
      </c>
      <c r="F9" s="13" t="s">
        <v>36</v>
      </c>
      <c r="G9" s="14" t="s">
        <v>65</v>
      </c>
      <c r="H9" s="14" t="s">
        <v>38</v>
      </c>
    </row>
    <row r="10" spans="1:10" ht="25.5">
      <c r="A10" s="28" t="s">
        <v>102</v>
      </c>
      <c r="B10" s="17" t="s">
        <v>101</v>
      </c>
      <c r="C10" s="16"/>
      <c r="D10" s="10"/>
      <c r="E10" s="16"/>
      <c r="F10" s="10"/>
      <c r="G10" s="16"/>
      <c r="H10" s="34">
        <f>H12+H50+H73+H103+H41+H90+H96</f>
        <v>1928.3999999999999</v>
      </c>
      <c r="I10">
        <v>1093.4</v>
      </c>
      <c r="J10" s="27"/>
    </row>
    <row r="11" spans="1:8" ht="6.75" customHeight="1">
      <c r="A11" s="26"/>
      <c r="B11" s="3"/>
      <c r="C11" s="16"/>
      <c r="D11" s="2"/>
      <c r="E11" s="16"/>
      <c r="F11" s="2"/>
      <c r="G11" s="16"/>
      <c r="H11" s="2"/>
    </row>
    <row r="12" spans="1:10" ht="12.75">
      <c r="A12" s="20" t="s">
        <v>0</v>
      </c>
      <c r="B12" s="17" t="s">
        <v>101</v>
      </c>
      <c r="C12" s="4" t="s">
        <v>1</v>
      </c>
      <c r="D12" s="3" t="s">
        <v>2</v>
      </c>
      <c r="E12" s="4" t="s">
        <v>3</v>
      </c>
      <c r="F12" s="3" t="s">
        <v>4</v>
      </c>
      <c r="G12" s="4" t="s">
        <v>4</v>
      </c>
      <c r="H12" s="2">
        <f>H14+H22</f>
        <v>707.5</v>
      </c>
      <c r="J12" s="27"/>
    </row>
    <row r="13" spans="1:8" ht="9.75" customHeight="1">
      <c r="A13" s="20"/>
      <c r="B13" s="3"/>
      <c r="C13" s="4"/>
      <c r="D13" s="3"/>
      <c r="E13" s="4"/>
      <c r="F13" s="3"/>
      <c r="G13" s="4"/>
      <c r="H13" s="2"/>
    </row>
    <row r="14" spans="1:8" ht="25.5">
      <c r="A14" s="15" t="s">
        <v>81</v>
      </c>
      <c r="B14" s="17" t="s">
        <v>101</v>
      </c>
      <c r="C14" s="4" t="s">
        <v>1</v>
      </c>
      <c r="D14" s="3" t="s">
        <v>39</v>
      </c>
      <c r="E14" s="4" t="s">
        <v>3</v>
      </c>
      <c r="F14" s="6" t="s">
        <v>4</v>
      </c>
      <c r="G14" s="5" t="s">
        <v>4</v>
      </c>
      <c r="H14" s="25">
        <f>H15</f>
        <v>212</v>
      </c>
    </row>
    <row r="15" spans="1:8" ht="51">
      <c r="A15" s="15" t="s">
        <v>82</v>
      </c>
      <c r="B15" s="17" t="s">
        <v>101</v>
      </c>
      <c r="C15" s="4" t="s">
        <v>1</v>
      </c>
      <c r="D15" s="3" t="s">
        <v>39</v>
      </c>
      <c r="E15" s="4" t="s">
        <v>83</v>
      </c>
      <c r="F15" s="3" t="s">
        <v>4</v>
      </c>
      <c r="G15" s="4" t="s">
        <v>4</v>
      </c>
      <c r="H15" s="25">
        <f>H16</f>
        <v>212</v>
      </c>
    </row>
    <row r="16" spans="1:8" ht="12.75">
      <c r="A16" s="20" t="s">
        <v>84</v>
      </c>
      <c r="B16" s="17" t="s">
        <v>101</v>
      </c>
      <c r="C16" s="4" t="s">
        <v>1</v>
      </c>
      <c r="D16" s="3" t="s">
        <v>39</v>
      </c>
      <c r="E16" s="4" t="s">
        <v>85</v>
      </c>
      <c r="F16" s="3" t="s">
        <v>4</v>
      </c>
      <c r="G16" s="4" t="s">
        <v>4</v>
      </c>
      <c r="H16" s="25">
        <f>H17</f>
        <v>212</v>
      </c>
    </row>
    <row r="17" spans="1:8" ht="12.75">
      <c r="A17" s="20" t="s">
        <v>86</v>
      </c>
      <c r="B17" s="17" t="s">
        <v>101</v>
      </c>
      <c r="C17" s="4" t="s">
        <v>1</v>
      </c>
      <c r="D17" s="3" t="s">
        <v>39</v>
      </c>
      <c r="E17" s="4" t="s">
        <v>85</v>
      </c>
      <c r="F17" s="3">
        <v>500</v>
      </c>
      <c r="G17" s="4" t="s">
        <v>4</v>
      </c>
      <c r="H17" s="25">
        <f>H18</f>
        <v>212</v>
      </c>
    </row>
    <row r="18" spans="1:10" ht="12.75">
      <c r="A18" s="15" t="s">
        <v>9</v>
      </c>
      <c r="B18" s="17" t="s">
        <v>101</v>
      </c>
      <c r="C18" s="4" t="s">
        <v>1</v>
      </c>
      <c r="D18" s="3" t="s">
        <v>39</v>
      </c>
      <c r="E18" s="4" t="s">
        <v>85</v>
      </c>
      <c r="F18" s="3">
        <v>500</v>
      </c>
      <c r="G18" s="4">
        <v>210</v>
      </c>
      <c r="H18" s="25">
        <f>H19+H20</f>
        <v>212</v>
      </c>
      <c r="J18" s="27"/>
    </row>
    <row r="19" spans="1:11" ht="12.75">
      <c r="A19" s="15" t="s">
        <v>10</v>
      </c>
      <c r="B19" s="17" t="s">
        <v>101</v>
      </c>
      <c r="C19" s="4" t="s">
        <v>1</v>
      </c>
      <c r="D19" s="3" t="s">
        <v>39</v>
      </c>
      <c r="E19" s="4" t="s">
        <v>85</v>
      </c>
      <c r="F19" s="3">
        <v>500</v>
      </c>
      <c r="G19" s="4">
        <v>211</v>
      </c>
      <c r="H19" s="25">
        <v>168</v>
      </c>
      <c r="J19" s="5">
        <v>168</v>
      </c>
      <c r="K19" s="5">
        <v>100</v>
      </c>
    </row>
    <row r="20" spans="1:11" ht="12.75">
      <c r="A20" s="15" t="s">
        <v>12</v>
      </c>
      <c r="B20" s="17" t="s">
        <v>101</v>
      </c>
      <c r="C20" s="4" t="s">
        <v>1</v>
      </c>
      <c r="D20" s="3" t="s">
        <v>39</v>
      </c>
      <c r="E20" s="4" t="s">
        <v>85</v>
      </c>
      <c r="F20" s="3">
        <v>500</v>
      </c>
      <c r="G20" s="4">
        <v>213</v>
      </c>
      <c r="H20" s="25">
        <v>44</v>
      </c>
      <c r="J20" s="5">
        <v>44</v>
      </c>
      <c r="K20" s="5">
        <v>26.2</v>
      </c>
    </row>
    <row r="21" spans="1:8" ht="8.25" customHeight="1" hidden="1">
      <c r="A21" s="20"/>
      <c r="B21" s="17" t="s">
        <v>101</v>
      </c>
      <c r="C21" s="4"/>
      <c r="D21" s="3"/>
      <c r="E21" s="4"/>
      <c r="F21" s="3"/>
      <c r="G21" s="4"/>
      <c r="H21" s="2"/>
    </row>
    <row r="22" spans="1:10" ht="38.25">
      <c r="A22" s="15" t="s">
        <v>5</v>
      </c>
      <c r="B22" s="17" t="s">
        <v>101</v>
      </c>
      <c r="C22" s="4" t="s">
        <v>1</v>
      </c>
      <c r="D22" s="3" t="s">
        <v>6</v>
      </c>
      <c r="E22" s="4" t="s">
        <v>3</v>
      </c>
      <c r="F22" s="6" t="s">
        <v>4</v>
      </c>
      <c r="G22" s="5" t="s">
        <v>4</v>
      </c>
      <c r="H22" s="2">
        <f>H23</f>
        <v>495.5</v>
      </c>
      <c r="J22">
        <f>212/7</f>
        <v>30.285714285714285</v>
      </c>
    </row>
    <row r="23" spans="1:8" ht="25.5">
      <c r="A23" s="15" t="s">
        <v>7</v>
      </c>
      <c r="B23" s="17" t="s">
        <v>101</v>
      </c>
      <c r="C23" s="4" t="s">
        <v>1</v>
      </c>
      <c r="D23" s="3" t="s">
        <v>6</v>
      </c>
      <c r="E23" s="4" t="s">
        <v>83</v>
      </c>
      <c r="F23" s="3" t="s">
        <v>4</v>
      </c>
      <c r="G23" s="4" t="s">
        <v>4</v>
      </c>
      <c r="H23" s="2">
        <f>H24</f>
        <v>495.5</v>
      </c>
    </row>
    <row r="24" spans="1:8" ht="12.75">
      <c r="A24" s="15" t="s">
        <v>97</v>
      </c>
      <c r="B24" s="17" t="s">
        <v>101</v>
      </c>
      <c r="C24" s="4" t="s">
        <v>1</v>
      </c>
      <c r="D24" s="3" t="s">
        <v>6</v>
      </c>
      <c r="E24" s="4" t="s">
        <v>87</v>
      </c>
      <c r="F24" s="3" t="s">
        <v>4</v>
      </c>
      <c r="G24" s="4" t="s">
        <v>4</v>
      </c>
      <c r="H24" s="2">
        <f>H25</f>
        <v>495.5</v>
      </c>
    </row>
    <row r="25" spans="1:8" ht="25.5">
      <c r="A25" s="15" t="s">
        <v>89</v>
      </c>
      <c r="B25" s="17" t="s">
        <v>101</v>
      </c>
      <c r="C25" s="4" t="s">
        <v>1</v>
      </c>
      <c r="D25" s="3" t="s">
        <v>6</v>
      </c>
      <c r="E25" s="4" t="s">
        <v>87</v>
      </c>
      <c r="F25" s="3" t="s">
        <v>88</v>
      </c>
      <c r="G25" s="4" t="s">
        <v>4</v>
      </c>
      <c r="H25" s="2">
        <f>H26+H30+H36+H37</f>
        <v>495.5</v>
      </c>
    </row>
    <row r="26" spans="1:8" ht="12.75">
      <c r="A26" s="15" t="s">
        <v>9</v>
      </c>
      <c r="B26" s="17" t="s">
        <v>101</v>
      </c>
      <c r="C26" s="4" t="s">
        <v>1</v>
      </c>
      <c r="D26" s="3" t="s">
        <v>6</v>
      </c>
      <c r="E26" s="4" t="s">
        <v>87</v>
      </c>
      <c r="F26" s="3" t="s">
        <v>88</v>
      </c>
      <c r="G26" s="4">
        <v>210</v>
      </c>
      <c r="H26" s="2">
        <f>H27+H28+H29</f>
        <v>316.4</v>
      </c>
    </row>
    <row r="27" spans="1:8" ht="12.75">
      <c r="A27" s="15" t="s">
        <v>10</v>
      </c>
      <c r="B27" s="17" t="s">
        <v>101</v>
      </c>
      <c r="C27" s="4" t="s">
        <v>1</v>
      </c>
      <c r="D27" s="3" t="s">
        <v>6</v>
      </c>
      <c r="E27" s="4" t="s">
        <v>87</v>
      </c>
      <c r="F27" s="3" t="s">
        <v>88</v>
      </c>
      <c r="G27" s="4">
        <v>211</v>
      </c>
      <c r="H27" s="25">
        <f>220+30.7</f>
        <v>250.7</v>
      </c>
    </row>
    <row r="28" spans="1:8" ht="12.75" hidden="1">
      <c r="A28" s="15" t="s">
        <v>11</v>
      </c>
      <c r="B28" s="17" t="s">
        <v>101</v>
      </c>
      <c r="C28" s="4" t="s">
        <v>1</v>
      </c>
      <c r="D28" s="3" t="s">
        <v>6</v>
      </c>
      <c r="E28" s="4" t="s">
        <v>87</v>
      </c>
      <c r="F28" s="3" t="s">
        <v>88</v>
      </c>
      <c r="G28" s="4">
        <v>212</v>
      </c>
      <c r="H28" s="2"/>
    </row>
    <row r="29" spans="1:8" ht="12.75">
      <c r="A29" s="15" t="s">
        <v>12</v>
      </c>
      <c r="B29" s="17" t="s">
        <v>101</v>
      </c>
      <c r="C29" s="4" t="s">
        <v>1</v>
      </c>
      <c r="D29" s="3" t="s">
        <v>6</v>
      </c>
      <c r="E29" s="4" t="s">
        <v>87</v>
      </c>
      <c r="F29" s="3" t="s">
        <v>88</v>
      </c>
      <c r="G29" s="4">
        <v>213</v>
      </c>
      <c r="H29" s="2">
        <v>65.7</v>
      </c>
    </row>
    <row r="30" spans="1:8" ht="12.75">
      <c r="A30" s="15" t="s">
        <v>13</v>
      </c>
      <c r="B30" s="17" t="s">
        <v>101</v>
      </c>
      <c r="C30" s="4" t="s">
        <v>1</v>
      </c>
      <c r="D30" s="3" t="s">
        <v>6</v>
      </c>
      <c r="E30" s="4" t="s">
        <v>87</v>
      </c>
      <c r="F30" s="3" t="s">
        <v>88</v>
      </c>
      <c r="G30" s="4">
        <v>220</v>
      </c>
      <c r="H30" s="25">
        <f>H31+H32+H33+H34+H35</f>
        <v>102</v>
      </c>
    </row>
    <row r="31" spans="1:8" ht="12.75">
      <c r="A31" s="15" t="s">
        <v>14</v>
      </c>
      <c r="B31" s="17" t="s">
        <v>101</v>
      </c>
      <c r="C31" s="4" t="s">
        <v>1</v>
      </c>
      <c r="D31" s="3" t="s">
        <v>6</v>
      </c>
      <c r="E31" s="4" t="s">
        <v>87</v>
      </c>
      <c r="F31" s="3" t="s">
        <v>88</v>
      </c>
      <c r="G31" s="4">
        <v>221</v>
      </c>
      <c r="H31" s="25">
        <v>12</v>
      </c>
    </row>
    <row r="32" spans="1:8" ht="12.75" hidden="1">
      <c r="A32" s="15" t="s">
        <v>15</v>
      </c>
      <c r="B32" s="17" t="s">
        <v>101</v>
      </c>
      <c r="C32" s="4" t="s">
        <v>1</v>
      </c>
      <c r="D32" s="3" t="s">
        <v>6</v>
      </c>
      <c r="E32" s="4" t="s">
        <v>87</v>
      </c>
      <c r="F32" s="3" t="s">
        <v>88</v>
      </c>
      <c r="G32" s="4">
        <v>222</v>
      </c>
      <c r="H32" s="25"/>
    </row>
    <row r="33" spans="1:8" ht="12.75">
      <c r="A33" s="15" t="s">
        <v>16</v>
      </c>
      <c r="B33" s="17" t="s">
        <v>101</v>
      </c>
      <c r="C33" s="4" t="s">
        <v>1</v>
      </c>
      <c r="D33" s="3" t="s">
        <v>6</v>
      </c>
      <c r="E33" s="4" t="s">
        <v>87</v>
      </c>
      <c r="F33" s="3" t="s">
        <v>88</v>
      </c>
      <c r="G33" s="4">
        <v>223</v>
      </c>
      <c r="H33" s="25">
        <v>20</v>
      </c>
    </row>
    <row r="34" spans="1:8" ht="12.75" hidden="1">
      <c r="A34" s="15" t="s">
        <v>17</v>
      </c>
      <c r="B34" s="17" t="s">
        <v>101</v>
      </c>
      <c r="C34" s="4" t="s">
        <v>1</v>
      </c>
      <c r="D34" s="3" t="s">
        <v>6</v>
      </c>
      <c r="E34" s="4" t="s">
        <v>87</v>
      </c>
      <c r="F34" s="3" t="s">
        <v>88</v>
      </c>
      <c r="G34" s="4">
        <v>225</v>
      </c>
      <c r="H34" s="25"/>
    </row>
    <row r="35" spans="1:8" ht="12.75">
      <c r="A35" s="15" t="s">
        <v>18</v>
      </c>
      <c r="B35" s="17" t="s">
        <v>101</v>
      </c>
      <c r="C35" s="4" t="s">
        <v>1</v>
      </c>
      <c r="D35" s="3" t="s">
        <v>6</v>
      </c>
      <c r="E35" s="4" t="s">
        <v>87</v>
      </c>
      <c r="F35" s="3" t="s">
        <v>88</v>
      </c>
      <c r="G35" s="4">
        <v>226</v>
      </c>
      <c r="H35" s="25">
        <v>70</v>
      </c>
    </row>
    <row r="36" spans="1:8" ht="12.75">
      <c r="A36" s="15" t="s">
        <v>19</v>
      </c>
      <c r="B36" s="17" t="s">
        <v>101</v>
      </c>
      <c r="C36" s="4" t="s">
        <v>1</v>
      </c>
      <c r="D36" s="3" t="s">
        <v>6</v>
      </c>
      <c r="E36" s="4" t="s">
        <v>87</v>
      </c>
      <c r="F36" s="3" t="s">
        <v>88</v>
      </c>
      <c r="G36" s="4">
        <v>290</v>
      </c>
      <c r="H36" s="25">
        <v>10</v>
      </c>
    </row>
    <row r="37" spans="1:8" ht="12.75">
      <c r="A37" s="15" t="s">
        <v>20</v>
      </c>
      <c r="B37" s="17" t="s">
        <v>101</v>
      </c>
      <c r="C37" s="4" t="s">
        <v>1</v>
      </c>
      <c r="D37" s="3" t="s">
        <v>6</v>
      </c>
      <c r="E37" s="4" t="s">
        <v>87</v>
      </c>
      <c r="F37" s="3" t="s">
        <v>88</v>
      </c>
      <c r="G37" s="4">
        <v>300</v>
      </c>
      <c r="H37" s="25">
        <f>H38+H39</f>
        <v>67.1</v>
      </c>
    </row>
    <row r="38" spans="1:8" ht="12.75">
      <c r="A38" s="15" t="s">
        <v>21</v>
      </c>
      <c r="B38" s="17" t="s">
        <v>101</v>
      </c>
      <c r="C38" s="4" t="s">
        <v>1</v>
      </c>
      <c r="D38" s="3" t="s">
        <v>6</v>
      </c>
      <c r="E38" s="4" t="s">
        <v>87</v>
      </c>
      <c r="F38" s="3" t="s">
        <v>88</v>
      </c>
      <c r="G38" s="4">
        <v>310</v>
      </c>
      <c r="H38" s="25">
        <v>20</v>
      </c>
    </row>
    <row r="39" spans="1:8" ht="12.75">
      <c r="A39" s="15" t="s">
        <v>22</v>
      </c>
      <c r="B39" s="17" t="s">
        <v>101</v>
      </c>
      <c r="C39" s="4" t="s">
        <v>1</v>
      </c>
      <c r="D39" s="3" t="s">
        <v>6</v>
      </c>
      <c r="E39" s="4" t="s">
        <v>87</v>
      </c>
      <c r="F39" s="3" t="s">
        <v>88</v>
      </c>
      <c r="G39" s="4">
        <v>340</v>
      </c>
      <c r="H39" s="25">
        <v>47.1</v>
      </c>
    </row>
    <row r="40" spans="1:8" ht="6.75" customHeight="1">
      <c r="A40" s="15"/>
      <c r="B40" s="17" t="s">
        <v>101</v>
      </c>
      <c r="C40" s="4"/>
      <c r="D40" s="3"/>
      <c r="E40" s="4"/>
      <c r="F40" s="3"/>
      <c r="G40" s="4"/>
      <c r="H40" s="2"/>
    </row>
    <row r="41" spans="1:8" ht="13.5" customHeight="1">
      <c r="A41" s="15" t="s">
        <v>68</v>
      </c>
      <c r="B41" s="17" t="s">
        <v>101</v>
      </c>
      <c r="C41" s="3" t="s">
        <v>39</v>
      </c>
      <c r="D41" s="3" t="s">
        <v>2</v>
      </c>
      <c r="E41" s="4" t="s">
        <v>3</v>
      </c>
      <c r="F41" s="3" t="s">
        <v>4</v>
      </c>
      <c r="G41" s="4" t="s">
        <v>4</v>
      </c>
      <c r="H41" s="25">
        <f>H42</f>
        <v>23</v>
      </c>
    </row>
    <row r="42" spans="1:8" ht="12.75">
      <c r="A42" s="15" t="s">
        <v>67</v>
      </c>
      <c r="B42" s="17" t="s">
        <v>101</v>
      </c>
      <c r="C42" s="3" t="s">
        <v>39</v>
      </c>
      <c r="D42" s="3" t="s">
        <v>43</v>
      </c>
      <c r="E42" s="4" t="s">
        <v>3</v>
      </c>
      <c r="F42" s="3" t="s">
        <v>4</v>
      </c>
      <c r="G42" s="4" t="s">
        <v>4</v>
      </c>
      <c r="H42" s="25">
        <f>H43</f>
        <v>23</v>
      </c>
    </row>
    <row r="43" spans="1:8" ht="25.5">
      <c r="A43" s="15" t="s">
        <v>7</v>
      </c>
      <c r="B43" s="17" t="s">
        <v>101</v>
      </c>
      <c r="C43" s="3" t="s">
        <v>39</v>
      </c>
      <c r="D43" s="3" t="s">
        <v>43</v>
      </c>
      <c r="E43" s="4" t="s">
        <v>8</v>
      </c>
      <c r="F43" s="3" t="s">
        <v>4</v>
      </c>
      <c r="G43" s="4" t="s">
        <v>4</v>
      </c>
      <c r="H43" s="25">
        <f>H44</f>
        <v>23</v>
      </c>
    </row>
    <row r="44" spans="1:8" ht="25.5">
      <c r="A44" s="15" t="s">
        <v>90</v>
      </c>
      <c r="B44" s="17" t="s">
        <v>101</v>
      </c>
      <c r="C44" s="3" t="s">
        <v>39</v>
      </c>
      <c r="D44" s="3" t="s">
        <v>43</v>
      </c>
      <c r="E44" s="4" t="s">
        <v>91</v>
      </c>
      <c r="F44" s="3" t="s">
        <v>4</v>
      </c>
      <c r="G44" s="4" t="s">
        <v>4</v>
      </c>
      <c r="H44" s="25">
        <f>H45</f>
        <v>23</v>
      </c>
    </row>
    <row r="45" spans="1:8" ht="12.75">
      <c r="A45" s="15" t="s">
        <v>86</v>
      </c>
      <c r="B45" s="17" t="s">
        <v>101</v>
      </c>
      <c r="C45" s="3" t="s">
        <v>39</v>
      </c>
      <c r="D45" s="3" t="s">
        <v>43</v>
      </c>
      <c r="E45" s="4" t="s">
        <v>91</v>
      </c>
      <c r="F45" s="3">
        <v>500</v>
      </c>
      <c r="G45" s="4" t="s">
        <v>4</v>
      </c>
      <c r="H45" s="25">
        <f>H46</f>
        <v>23</v>
      </c>
    </row>
    <row r="46" spans="1:8" ht="12.75">
      <c r="A46" s="15" t="s">
        <v>9</v>
      </c>
      <c r="B46" s="17" t="s">
        <v>101</v>
      </c>
      <c r="C46" s="3" t="s">
        <v>39</v>
      </c>
      <c r="D46" s="3" t="s">
        <v>43</v>
      </c>
      <c r="E46" s="4" t="s">
        <v>91</v>
      </c>
      <c r="F46" s="3">
        <v>500</v>
      </c>
      <c r="G46" s="4">
        <v>210</v>
      </c>
      <c r="H46" s="25">
        <f>H47+H48</f>
        <v>23</v>
      </c>
    </row>
    <row r="47" spans="1:11" ht="12.75">
      <c r="A47" s="15" t="s">
        <v>10</v>
      </c>
      <c r="B47" s="17" t="s">
        <v>101</v>
      </c>
      <c r="C47" s="3" t="s">
        <v>39</v>
      </c>
      <c r="D47" s="3" t="s">
        <v>43</v>
      </c>
      <c r="E47" s="4" t="s">
        <v>91</v>
      </c>
      <c r="F47" s="3">
        <v>500</v>
      </c>
      <c r="G47" s="4">
        <v>211</v>
      </c>
      <c r="H47" s="25">
        <v>18.2</v>
      </c>
      <c r="J47" s="5"/>
      <c r="K47" s="5"/>
    </row>
    <row r="48" spans="1:10" ht="12.75">
      <c r="A48" s="15" t="s">
        <v>12</v>
      </c>
      <c r="B48" s="17" t="s">
        <v>101</v>
      </c>
      <c r="C48" s="3" t="s">
        <v>39</v>
      </c>
      <c r="D48" s="3" t="s">
        <v>43</v>
      </c>
      <c r="E48" s="4" t="s">
        <v>91</v>
      </c>
      <c r="F48" s="3">
        <v>500</v>
      </c>
      <c r="G48" s="4">
        <v>213</v>
      </c>
      <c r="H48" s="25">
        <v>4.8</v>
      </c>
      <c r="J48" s="5"/>
    </row>
    <row r="49" spans="1:8" ht="9" customHeight="1">
      <c r="A49" s="15"/>
      <c r="B49" s="17" t="s">
        <v>101</v>
      </c>
      <c r="C49" s="4"/>
      <c r="D49" s="3"/>
      <c r="E49" s="4"/>
      <c r="F49" s="3"/>
      <c r="G49" s="4"/>
      <c r="H49" s="2"/>
    </row>
    <row r="50" spans="1:8" ht="12.75">
      <c r="A50" s="29" t="s">
        <v>104</v>
      </c>
      <c r="B50" s="17" t="s">
        <v>101</v>
      </c>
      <c r="C50" s="16"/>
      <c r="D50" s="2"/>
      <c r="E50" s="16"/>
      <c r="F50" s="2"/>
      <c r="G50" s="16"/>
      <c r="H50" s="2">
        <f>H51</f>
        <v>831.1</v>
      </c>
    </row>
    <row r="51" spans="1:8" ht="25.5">
      <c r="A51" s="15" t="s">
        <v>24</v>
      </c>
      <c r="B51" s="17" t="s">
        <v>101</v>
      </c>
      <c r="C51" s="5" t="s">
        <v>25</v>
      </c>
      <c r="D51" s="6" t="s">
        <v>2</v>
      </c>
      <c r="E51" s="4" t="s">
        <v>3</v>
      </c>
      <c r="F51" s="6" t="s">
        <v>4</v>
      </c>
      <c r="G51" s="5" t="s">
        <v>4</v>
      </c>
      <c r="H51" s="2">
        <f>H52</f>
        <v>831.1</v>
      </c>
    </row>
    <row r="52" spans="1:8" ht="12.75">
      <c r="A52" s="15" t="s">
        <v>26</v>
      </c>
      <c r="B52" s="17" t="s">
        <v>101</v>
      </c>
      <c r="C52" s="5" t="s">
        <v>25</v>
      </c>
      <c r="D52" s="6" t="s">
        <v>1</v>
      </c>
      <c r="E52" s="4" t="s">
        <v>3</v>
      </c>
      <c r="F52" s="6" t="s">
        <v>4</v>
      </c>
      <c r="G52" s="5" t="s">
        <v>4</v>
      </c>
      <c r="H52" s="2">
        <f>H53</f>
        <v>831.1</v>
      </c>
    </row>
    <row r="53" spans="1:8" ht="25.5">
      <c r="A53" s="15" t="s">
        <v>92</v>
      </c>
      <c r="B53" s="17" t="s">
        <v>101</v>
      </c>
      <c r="C53" s="5" t="s">
        <v>25</v>
      </c>
      <c r="D53" s="6" t="s">
        <v>1</v>
      </c>
      <c r="E53" s="4" t="s">
        <v>27</v>
      </c>
      <c r="F53" s="6" t="s">
        <v>4</v>
      </c>
      <c r="G53" s="5" t="s">
        <v>4</v>
      </c>
      <c r="H53" s="2">
        <f>H55</f>
        <v>831.1</v>
      </c>
    </row>
    <row r="54" spans="1:8" ht="12.75">
      <c r="A54" s="15" t="s">
        <v>23</v>
      </c>
      <c r="B54" s="17" t="s">
        <v>101</v>
      </c>
      <c r="C54" s="5" t="s">
        <v>25</v>
      </c>
      <c r="D54" s="6" t="s">
        <v>1</v>
      </c>
      <c r="E54" s="4" t="s">
        <v>93</v>
      </c>
      <c r="F54" s="6" t="s">
        <v>4</v>
      </c>
      <c r="G54" s="5" t="s">
        <v>4</v>
      </c>
      <c r="H54" s="21">
        <f>H55</f>
        <v>831.1</v>
      </c>
    </row>
    <row r="55" spans="1:8" ht="12.75">
      <c r="A55" s="15" t="s">
        <v>94</v>
      </c>
      <c r="B55" s="17" t="s">
        <v>101</v>
      </c>
      <c r="C55" s="5" t="s">
        <v>25</v>
      </c>
      <c r="D55" s="6" t="s">
        <v>1</v>
      </c>
      <c r="E55" s="4" t="s">
        <v>93</v>
      </c>
      <c r="F55" s="6" t="s">
        <v>95</v>
      </c>
      <c r="G55" s="5" t="s">
        <v>4</v>
      </c>
      <c r="H55" s="2">
        <f>H56+H60+H67+H66</f>
        <v>831.1</v>
      </c>
    </row>
    <row r="56" spans="1:8" ht="12.75">
      <c r="A56" s="15" t="s">
        <v>9</v>
      </c>
      <c r="B56" s="17" t="s">
        <v>101</v>
      </c>
      <c r="C56" s="5" t="s">
        <v>25</v>
      </c>
      <c r="D56" s="6" t="s">
        <v>1</v>
      </c>
      <c r="E56" s="4" t="s">
        <v>93</v>
      </c>
      <c r="F56" s="6" t="s">
        <v>95</v>
      </c>
      <c r="G56" s="4">
        <v>210</v>
      </c>
      <c r="H56" s="2">
        <f>H57+H58+H59</f>
        <v>741.1</v>
      </c>
    </row>
    <row r="57" spans="1:8" ht="12.75">
      <c r="A57" s="15" t="s">
        <v>10</v>
      </c>
      <c r="B57" s="17" t="s">
        <v>101</v>
      </c>
      <c r="C57" s="5" t="s">
        <v>25</v>
      </c>
      <c r="D57" s="6" t="s">
        <v>1</v>
      </c>
      <c r="E57" s="4" t="s">
        <v>93</v>
      </c>
      <c r="F57" s="6" t="s">
        <v>95</v>
      </c>
      <c r="G57" s="4">
        <v>211</v>
      </c>
      <c r="H57" s="2">
        <v>580.5</v>
      </c>
    </row>
    <row r="58" spans="1:8" ht="12.75">
      <c r="A58" s="15" t="s">
        <v>11</v>
      </c>
      <c r="B58" s="17" t="s">
        <v>101</v>
      </c>
      <c r="C58" s="5" t="s">
        <v>25</v>
      </c>
      <c r="D58" s="6" t="s">
        <v>1</v>
      </c>
      <c r="E58" s="4" t="s">
        <v>93</v>
      </c>
      <c r="F58" s="6" t="s">
        <v>95</v>
      </c>
      <c r="G58" s="4">
        <v>212</v>
      </c>
      <c r="H58" s="2">
        <v>8.5</v>
      </c>
    </row>
    <row r="59" spans="1:8" ht="12.75">
      <c r="A59" s="15" t="s">
        <v>12</v>
      </c>
      <c r="B59" s="17" t="s">
        <v>101</v>
      </c>
      <c r="C59" s="5" t="s">
        <v>25</v>
      </c>
      <c r="D59" s="6" t="s">
        <v>1</v>
      </c>
      <c r="E59" s="4" t="s">
        <v>93</v>
      </c>
      <c r="F59" s="6" t="s">
        <v>95</v>
      </c>
      <c r="G59" s="4">
        <v>213</v>
      </c>
      <c r="H59" s="2">
        <v>152.1</v>
      </c>
    </row>
    <row r="60" spans="1:8" ht="12.75">
      <c r="A60" s="15" t="s">
        <v>13</v>
      </c>
      <c r="B60" s="17" t="s">
        <v>101</v>
      </c>
      <c r="C60" s="5" t="s">
        <v>25</v>
      </c>
      <c r="D60" s="6" t="s">
        <v>1</v>
      </c>
      <c r="E60" s="4" t="s">
        <v>93</v>
      </c>
      <c r="F60" s="6" t="s">
        <v>95</v>
      </c>
      <c r="G60" s="4">
        <v>220</v>
      </c>
      <c r="H60" s="2">
        <f>H61+H62+H63+H64+H65</f>
        <v>50</v>
      </c>
    </row>
    <row r="61" spans="1:8" ht="12.75" hidden="1">
      <c r="A61" s="15" t="s">
        <v>14</v>
      </c>
      <c r="B61" s="17" t="s">
        <v>101</v>
      </c>
      <c r="C61" s="5" t="s">
        <v>25</v>
      </c>
      <c r="D61" s="6" t="s">
        <v>1</v>
      </c>
      <c r="E61" s="4" t="s">
        <v>93</v>
      </c>
      <c r="F61" s="6" t="s">
        <v>95</v>
      </c>
      <c r="G61" s="4">
        <v>221</v>
      </c>
      <c r="H61" s="2"/>
    </row>
    <row r="62" spans="1:8" ht="12.75" hidden="1">
      <c r="A62" s="15" t="s">
        <v>15</v>
      </c>
      <c r="B62" s="17" t="s">
        <v>101</v>
      </c>
      <c r="C62" s="5" t="s">
        <v>25</v>
      </c>
      <c r="D62" s="6" t="s">
        <v>1</v>
      </c>
      <c r="E62" s="4" t="s">
        <v>93</v>
      </c>
      <c r="F62" s="6" t="s">
        <v>95</v>
      </c>
      <c r="G62" s="4">
        <v>222</v>
      </c>
      <c r="H62" s="2"/>
    </row>
    <row r="63" spans="1:8" ht="12.75">
      <c r="A63" s="15" t="s">
        <v>16</v>
      </c>
      <c r="B63" s="17" t="s">
        <v>101</v>
      </c>
      <c r="C63" s="5" t="s">
        <v>25</v>
      </c>
      <c r="D63" s="6" t="s">
        <v>1</v>
      </c>
      <c r="E63" s="4" t="s">
        <v>93</v>
      </c>
      <c r="F63" s="6" t="s">
        <v>95</v>
      </c>
      <c r="G63" s="4">
        <v>223</v>
      </c>
      <c r="H63" s="2">
        <v>50</v>
      </c>
    </row>
    <row r="64" spans="1:8" ht="12.75" hidden="1">
      <c r="A64" s="15" t="s">
        <v>17</v>
      </c>
      <c r="B64" s="17" t="s">
        <v>101</v>
      </c>
      <c r="C64" s="5" t="s">
        <v>25</v>
      </c>
      <c r="D64" s="6" t="s">
        <v>1</v>
      </c>
      <c r="E64" s="4" t="s">
        <v>93</v>
      </c>
      <c r="F64" s="6" t="s">
        <v>95</v>
      </c>
      <c r="G64" s="4">
        <v>225</v>
      </c>
      <c r="H64" s="2"/>
    </row>
    <row r="65" spans="1:8" ht="12.75" hidden="1">
      <c r="A65" s="15" t="s">
        <v>18</v>
      </c>
      <c r="B65" s="17" t="s">
        <v>101</v>
      </c>
      <c r="C65" s="5" t="s">
        <v>25</v>
      </c>
      <c r="D65" s="6" t="s">
        <v>1</v>
      </c>
      <c r="E65" s="4" t="s">
        <v>93</v>
      </c>
      <c r="F65" s="6" t="s">
        <v>95</v>
      </c>
      <c r="G65" s="4">
        <v>226</v>
      </c>
      <c r="H65" s="2"/>
    </row>
    <row r="66" spans="1:8" ht="12.75">
      <c r="A66" s="15" t="s">
        <v>19</v>
      </c>
      <c r="B66" s="17" t="s">
        <v>101</v>
      </c>
      <c r="C66" s="5" t="s">
        <v>25</v>
      </c>
      <c r="D66" s="6" t="s">
        <v>1</v>
      </c>
      <c r="E66" s="4" t="s">
        <v>93</v>
      </c>
      <c r="F66" s="6" t="s">
        <v>95</v>
      </c>
      <c r="G66" s="4">
        <v>290</v>
      </c>
      <c r="H66" s="2">
        <v>10</v>
      </c>
    </row>
    <row r="67" spans="1:8" ht="12.75">
      <c r="A67" s="15" t="s">
        <v>20</v>
      </c>
      <c r="B67" s="17" t="s">
        <v>101</v>
      </c>
      <c r="C67" s="5" t="s">
        <v>25</v>
      </c>
      <c r="D67" s="6" t="s">
        <v>1</v>
      </c>
      <c r="E67" s="4" t="s">
        <v>93</v>
      </c>
      <c r="F67" s="6" t="s">
        <v>95</v>
      </c>
      <c r="G67" s="4">
        <v>300</v>
      </c>
      <c r="H67" s="2">
        <f>H68+H69</f>
        <v>30</v>
      </c>
    </row>
    <row r="68" spans="1:8" ht="12.75">
      <c r="A68" s="15" t="s">
        <v>21</v>
      </c>
      <c r="B68" s="17" t="s">
        <v>101</v>
      </c>
      <c r="C68" s="5" t="s">
        <v>25</v>
      </c>
      <c r="D68" s="6" t="s">
        <v>1</v>
      </c>
      <c r="E68" s="4" t="s">
        <v>93</v>
      </c>
      <c r="F68" s="6" t="s">
        <v>95</v>
      </c>
      <c r="G68" s="4">
        <v>310</v>
      </c>
      <c r="H68" s="2">
        <v>10</v>
      </c>
    </row>
    <row r="69" spans="1:8" ht="12.75">
      <c r="A69" s="15" t="s">
        <v>22</v>
      </c>
      <c r="B69" s="17" t="s">
        <v>101</v>
      </c>
      <c r="C69" s="5" t="s">
        <v>25</v>
      </c>
      <c r="D69" s="6" t="s">
        <v>1</v>
      </c>
      <c r="E69" s="4" t="s">
        <v>93</v>
      </c>
      <c r="F69" s="6" t="s">
        <v>95</v>
      </c>
      <c r="G69" s="4">
        <v>340</v>
      </c>
      <c r="H69" s="2">
        <v>20</v>
      </c>
    </row>
    <row r="70" spans="1:8" ht="6" customHeight="1">
      <c r="A70" s="15"/>
      <c r="B70" s="17" t="s">
        <v>101</v>
      </c>
      <c r="C70" s="5"/>
      <c r="D70" s="6"/>
      <c r="E70" s="4"/>
      <c r="F70" s="6"/>
      <c r="G70" s="4"/>
      <c r="H70" s="2"/>
    </row>
    <row r="71" spans="1:8" ht="12.75">
      <c r="A71" s="24"/>
      <c r="B71" s="22" t="s">
        <v>30</v>
      </c>
      <c r="C71" s="22"/>
      <c r="D71" s="22"/>
      <c r="E71" s="22"/>
      <c r="F71" s="22"/>
      <c r="G71" s="22"/>
      <c r="H71" s="22"/>
    </row>
    <row r="72" spans="1:8" ht="51">
      <c r="A72" s="23" t="s">
        <v>31</v>
      </c>
      <c r="B72" s="23" t="s">
        <v>32</v>
      </c>
      <c r="C72" s="12" t="s">
        <v>33</v>
      </c>
      <c r="D72" s="12" t="s">
        <v>34</v>
      </c>
      <c r="E72" s="12" t="s">
        <v>35</v>
      </c>
      <c r="F72" s="12" t="s">
        <v>36</v>
      </c>
      <c r="G72" s="12" t="s">
        <v>37</v>
      </c>
      <c r="H72" s="12" t="s">
        <v>38</v>
      </c>
    </row>
    <row r="73" spans="1:8" ht="24" customHeight="1">
      <c r="A73" s="29" t="s">
        <v>105</v>
      </c>
      <c r="B73" s="3" t="s">
        <v>63</v>
      </c>
      <c r="C73" s="16"/>
      <c r="D73" s="2"/>
      <c r="E73" s="16"/>
      <c r="F73" s="2"/>
      <c r="G73" s="16"/>
      <c r="H73" s="2">
        <f>H74</f>
        <v>366.8</v>
      </c>
    </row>
    <row r="74" spans="1:8" ht="25.5">
      <c r="A74" s="15" t="s">
        <v>24</v>
      </c>
      <c r="B74" s="3" t="s">
        <v>63</v>
      </c>
      <c r="C74" s="5" t="s">
        <v>25</v>
      </c>
      <c r="D74" s="6" t="s">
        <v>2</v>
      </c>
      <c r="E74" s="4" t="s">
        <v>3</v>
      </c>
      <c r="F74" s="6" t="s">
        <v>4</v>
      </c>
      <c r="G74" s="5" t="s">
        <v>4</v>
      </c>
      <c r="H74" s="2">
        <f>H75</f>
        <v>366.8</v>
      </c>
    </row>
    <row r="75" spans="1:8" ht="12.75">
      <c r="A75" s="15" t="s">
        <v>26</v>
      </c>
      <c r="B75" s="3" t="s">
        <v>63</v>
      </c>
      <c r="C75" s="5" t="s">
        <v>25</v>
      </c>
      <c r="D75" s="6" t="s">
        <v>1</v>
      </c>
      <c r="E75" s="4" t="s">
        <v>3</v>
      </c>
      <c r="F75" s="6" t="s">
        <v>4</v>
      </c>
      <c r="G75" s="5" t="s">
        <v>4</v>
      </c>
      <c r="H75" s="2">
        <f>H76</f>
        <v>366.8</v>
      </c>
    </row>
    <row r="76" spans="1:8" ht="12.75">
      <c r="A76" s="15" t="s">
        <v>28</v>
      </c>
      <c r="B76" s="3" t="s">
        <v>63</v>
      </c>
      <c r="C76" s="5" t="s">
        <v>25</v>
      </c>
      <c r="D76" s="6" t="s">
        <v>1</v>
      </c>
      <c r="E76" s="4" t="s">
        <v>29</v>
      </c>
      <c r="F76" s="6" t="s">
        <v>4</v>
      </c>
      <c r="G76" s="5" t="s">
        <v>4</v>
      </c>
      <c r="H76" s="2">
        <f>H77</f>
        <v>366.8</v>
      </c>
    </row>
    <row r="77" spans="1:8" ht="12.75">
      <c r="A77" s="15" t="s">
        <v>23</v>
      </c>
      <c r="B77" s="3" t="s">
        <v>63</v>
      </c>
      <c r="C77" s="5" t="s">
        <v>25</v>
      </c>
      <c r="D77" s="6" t="s">
        <v>1</v>
      </c>
      <c r="E77" s="4" t="s">
        <v>96</v>
      </c>
      <c r="F77" s="6" t="s">
        <v>4</v>
      </c>
      <c r="G77" s="5" t="s">
        <v>4</v>
      </c>
      <c r="H77" s="2">
        <f>H78</f>
        <v>366.8</v>
      </c>
    </row>
    <row r="78" spans="1:8" ht="12.75">
      <c r="A78" s="15" t="s">
        <v>94</v>
      </c>
      <c r="B78" s="3" t="s">
        <v>63</v>
      </c>
      <c r="C78" s="5" t="s">
        <v>25</v>
      </c>
      <c r="D78" s="6" t="s">
        <v>1</v>
      </c>
      <c r="E78" s="4" t="s">
        <v>96</v>
      </c>
      <c r="F78" s="6" t="s">
        <v>95</v>
      </c>
      <c r="G78" s="5" t="s">
        <v>4</v>
      </c>
      <c r="H78" s="2">
        <f>H79+H83+H87</f>
        <v>366.8</v>
      </c>
    </row>
    <row r="79" spans="1:8" ht="12.75">
      <c r="A79" s="15" t="s">
        <v>9</v>
      </c>
      <c r="B79" s="3" t="s">
        <v>63</v>
      </c>
      <c r="C79" s="5" t="s">
        <v>25</v>
      </c>
      <c r="D79" s="6" t="s">
        <v>1</v>
      </c>
      <c r="E79" s="4" t="s">
        <v>96</v>
      </c>
      <c r="F79" s="6" t="s">
        <v>95</v>
      </c>
      <c r="G79" s="4">
        <v>210</v>
      </c>
      <c r="H79" s="2">
        <f>H80+H81+H82</f>
        <v>344.8</v>
      </c>
    </row>
    <row r="80" spans="1:8" ht="12.75">
      <c r="A80" s="15" t="s">
        <v>10</v>
      </c>
      <c r="B80" s="3" t="s">
        <v>63</v>
      </c>
      <c r="C80" s="5" t="s">
        <v>25</v>
      </c>
      <c r="D80" s="6" t="s">
        <v>1</v>
      </c>
      <c r="E80" s="4" t="s">
        <v>96</v>
      </c>
      <c r="F80" s="6" t="s">
        <v>95</v>
      </c>
      <c r="G80" s="4">
        <v>211</v>
      </c>
      <c r="H80" s="2">
        <v>267.8</v>
      </c>
    </row>
    <row r="81" spans="1:8" ht="12.75">
      <c r="A81" s="15" t="s">
        <v>11</v>
      </c>
      <c r="B81" s="3" t="s">
        <v>63</v>
      </c>
      <c r="C81" s="5" t="s">
        <v>25</v>
      </c>
      <c r="D81" s="6" t="s">
        <v>1</v>
      </c>
      <c r="E81" s="4" t="s">
        <v>96</v>
      </c>
      <c r="F81" s="6" t="s">
        <v>95</v>
      </c>
      <c r="G81" s="4">
        <v>212</v>
      </c>
      <c r="H81" s="2">
        <v>6.8</v>
      </c>
    </row>
    <row r="82" spans="1:8" ht="12.75">
      <c r="A82" s="15" t="s">
        <v>12</v>
      </c>
      <c r="B82" s="3" t="s">
        <v>63</v>
      </c>
      <c r="C82" s="5" t="s">
        <v>25</v>
      </c>
      <c r="D82" s="6" t="s">
        <v>1</v>
      </c>
      <c r="E82" s="4" t="s">
        <v>96</v>
      </c>
      <c r="F82" s="6" t="s">
        <v>95</v>
      </c>
      <c r="G82" s="4">
        <v>213</v>
      </c>
      <c r="H82" s="2">
        <v>70.2</v>
      </c>
    </row>
    <row r="83" spans="1:8" ht="12.75">
      <c r="A83" s="15" t="s">
        <v>13</v>
      </c>
      <c r="B83" s="3" t="s">
        <v>63</v>
      </c>
      <c r="C83" s="5" t="s">
        <v>25</v>
      </c>
      <c r="D83" s="6" t="s">
        <v>1</v>
      </c>
      <c r="E83" s="4" t="s">
        <v>96</v>
      </c>
      <c r="F83" s="6" t="s">
        <v>95</v>
      </c>
      <c r="G83" s="4">
        <v>220</v>
      </c>
      <c r="H83" s="2">
        <f>H86+H84+H85</f>
        <v>6</v>
      </c>
    </row>
    <row r="84" spans="1:8" ht="12.75" hidden="1">
      <c r="A84" s="15" t="s">
        <v>14</v>
      </c>
      <c r="B84" s="3" t="s">
        <v>63</v>
      </c>
      <c r="C84" s="5" t="s">
        <v>25</v>
      </c>
      <c r="D84" s="6" t="s">
        <v>1</v>
      </c>
      <c r="E84" s="4" t="s">
        <v>96</v>
      </c>
      <c r="F84" s="6" t="s">
        <v>95</v>
      </c>
      <c r="G84" s="4">
        <v>221</v>
      </c>
      <c r="H84" s="2"/>
    </row>
    <row r="85" spans="1:8" ht="12.75">
      <c r="A85" s="15" t="s">
        <v>16</v>
      </c>
      <c r="B85" s="3" t="s">
        <v>63</v>
      </c>
      <c r="C85" s="5" t="s">
        <v>25</v>
      </c>
      <c r="D85" s="6" t="s">
        <v>1</v>
      </c>
      <c r="E85" s="4" t="s">
        <v>96</v>
      </c>
      <c r="F85" s="6" t="s">
        <v>95</v>
      </c>
      <c r="G85" s="4">
        <v>223</v>
      </c>
      <c r="H85" s="2">
        <v>6</v>
      </c>
    </row>
    <row r="86" spans="1:8" ht="12.75" hidden="1">
      <c r="A86" s="15" t="s">
        <v>18</v>
      </c>
      <c r="B86" s="3" t="s">
        <v>63</v>
      </c>
      <c r="C86" s="5" t="s">
        <v>25</v>
      </c>
      <c r="D86" s="6" t="s">
        <v>1</v>
      </c>
      <c r="E86" s="4" t="s">
        <v>96</v>
      </c>
      <c r="F86" s="6" t="s">
        <v>95</v>
      </c>
      <c r="G86" s="4">
        <v>226</v>
      </c>
      <c r="H86" s="2"/>
    </row>
    <row r="87" spans="1:8" ht="12.75">
      <c r="A87" s="15" t="s">
        <v>20</v>
      </c>
      <c r="B87" s="3" t="s">
        <v>63</v>
      </c>
      <c r="C87" s="5" t="s">
        <v>25</v>
      </c>
      <c r="D87" s="6" t="s">
        <v>1</v>
      </c>
      <c r="E87" s="4" t="s">
        <v>96</v>
      </c>
      <c r="F87" s="6" t="s">
        <v>95</v>
      </c>
      <c r="G87" s="4">
        <v>300</v>
      </c>
      <c r="H87" s="2">
        <f>H88</f>
        <v>16</v>
      </c>
    </row>
    <row r="88" spans="1:8" ht="12.75">
      <c r="A88" s="15" t="s">
        <v>22</v>
      </c>
      <c r="B88" s="3" t="s">
        <v>63</v>
      </c>
      <c r="C88" s="5" t="s">
        <v>25</v>
      </c>
      <c r="D88" s="6" t="s">
        <v>1</v>
      </c>
      <c r="E88" s="4" t="s">
        <v>96</v>
      </c>
      <c r="F88" s="6" t="s">
        <v>95</v>
      </c>
      <c r="G88" s="4">
        <v>340</v>
      </c>
      <c r="H88" s="18">
        <v>16</v>
      </c>
    </row>
    <row r="89" spans="1:8" ht="12.75">
      <c r="A89" s="38"/>
      <c r="B89" s="11"/>
      <c r="C89" s="39"/>
      <c r="D89" s="19"/>
      <c r="E89" s="39"/>
      <c r="F89" s="19"/>
      <c r="G89" s="39"/>
      <c r="H89" s="19"/>
    </row>
    <row r="90" spans="1:8" ht="12.75" hidden="1">
      <c r="A90" s="21" t="s">
        <v>69</v>
      </c>
      <c r="B90" s="3" t="s">
        <v>63</v>
      </c>
      <c r="C90" s="5" t="s">
        <v>6</v>
      </c>
      <c r="D90" s="3" t="s">
        <v>2</v>
      </c>
      <c r="E90" s="4" t="s">
        <v>3</v>
      </c>
      <c r="F90" s="6" t="s">
        <v>4</v>
      </c>
      <c r="G90" s="5" t="s">
        <v>4</v>
      </c>
      <c r="H90" s="2">
        <f>H91</f>
        <v>0</v>
      </c>
    </row>
    <row r="91" spans="1:8" ht="12.75" hidden="1">
      <c r="A91" s="21" t="s">
        <v>70</v>
      </c>
      <c r="B91" s="3" t="s">
        <v>63</v>
      </c>
      <c r="C91" s="5" t="s">
        <v>6</v>
      </c>
      <c r="D91" s="3" t="s">
        <v>73</v>
      </c>
      <c r="E91" s="4" t="s">
        <v>3</v>
      </c>
      <c r="F91" s="6" t="s">
        <v>4</v>
      </c>
      <c r="G91" s="5" t="s">
        <v>4</v>
      </c>
      <c r="H91" s="2">
        <f>H92</f>
        <v>0</v>
      </c>
    </row>
    <row r="92" spans="1:8" ht="12.75" hidden="1">
      <c r="A92" s="21" t="s">
        <v>71</v>
      </c>
      <c r="B92" s="3" t="s">
        <v>63</v>
      </c>
      <c r="C92" s="5" t="s">
        <v>6</v>
      </c>
      <c r="D92" s="3" t="s">
        <v>73</v>
      </c>
      <c r="E92" s="5" t="s">
        <v>74</v>
      </c>
      <c r="F92" s="6" t="s">
        <v>4</v>
      </c>
      <c r="G92" s="5" t="s">
        <v>4</v>
      </c>
      <c r="H92" s="2">
        <f>H93</f>
        <v>0</v>
      </c>
    </row>
    <row r="93" spans="1:8" ht="25.5" hidden="1">
      <c r="A93" s="15" t="s">
        <v>72</v>
      </c>
      <c r="B93" s="3" t="s">
        <v>63</v>
      </c>
      <c r="C93" s="5" t="s">
        <v>6</v>
      </c>
      <c r="D93" s="3" t="s">
        <v>73</v>
      </c>
      <c r="E93" s="5" t="s">
        <v>74</v>
      </c>
      <c r="F93" s="3">
        <v>342</v>
      </c>
      <c r="G93" s="5" t="s">
        <v>4</v>
      </c>
      <c r="H93" s="2">
        <f>H94</f>
        <v>0</v>
      </c>
    </row>
    <row r="94" spans="1:8" ht="12.75" hidden="1">
      <c r="A94" s="21" t="s">
        <v>19</v>
      </c>
      <c r="B94" s="3" t="s">
        <v>63</v>
      </c>
      <c r="C94" s="5" t="s">
        <v>6</v>
      </c>
      <c r="D94" s="3" t="s">
        <v>73</v>
      </c>
      <c r="E94" s="5" t="s">
        <v>74</v>
      </c>
      <c r="F94" s="3">
        <v>342</v>
      </c>
      <c r="G94" s="1">
        <v>290</v>
      </c>
      <c r="H94" s="2"/>
    </row>
    <row r="95" spans="1:8" ht="12.75" hidden="1">
      <c r="A95" s="21"/>
      <c r="B95" s="3"/>
      <c r="D95" s="2"/>
      <c r="F95" s="2"/>
      <c r="H95" s="2"/>
    </row>
    <row r="96" spans="1:8" ht="12.75" hidden="1">
      <c r="A96" s="21" t="s">
        <v>75</v>
      </c>
      <c r="B96" s="3" t="s">
        <v>63</v>
      </c>
      <c r="C96" s="5" t="s">
        <v>73</v>
      </c>
      <c r="D96" s="3" t="s">
        <v>2</v>
      </c>
      <c r="E96" s="4" t="s">
        <v>3</v>
      </c>
      <c r="F96" s="6" t="s">
        <v>4</v>
      </c>
      <c r="G96" s="5" t="s">
        <v>4</v>
      </c>
      <c r="H96" s="2">
        <f>H97</f>
        <v>0</v>
      </c>
    </row>
    <row r="97" spans="1:8" ht="12.75" hidden="1">
      <c r="A97" s="21" t="s">
        <v>79</v>
      </c>
      <c r="B97" s="3" t="s">
        <v>63</v>
      </c>
      <c r="C97" s="5" t="s">
        <v>73</v>
      </c>
      <c r="D97" s="3" t="s">
        <v>1</v>
      </c>
      <c r="E97" s="4" t="s">
        <v>3</v>
      </c>
      <c r="F97" s="6" t="s">
        <v>4</v>
      </c>
      <c r="G97" s="5" t="s">
        <v>4</v>
      </c>
      <c r="H97" s="2">
        <f>H98</f>
        <v>0</v>
      </c>
    </row>
    <row r="98" spans="1:8" ht="12.75" hidden="1">
      <c r="A98" s="21" t="s">
        <v>76</v>
      </c>
      <c r="B98" s="3" t="s">
        <v>63</v>
      </c>
      <c r="C98" s="5" t="s">
        <v>73</v>
      </c>
      <c r="D98" s="3" t="s">
        <v>1</v>
      </c>
      <c r="E98" s="5" t="s">
        <v>78</v>
      </c>
      <c r="F98" s="6" t="s">
        <v>4</v>
      </c>
      <c r="G98" s="5" t="s">
        <v>4</v>
      </c>
      <c r="H98" s="2">
        <f>H99</f>
        <v>0</v>
      </c>
    </row>
    <row r="99" spans="1:8" ht="12.75" hidden="1">
      <c r="A99" s="21" t="s">
        <v>77</v>
      </c>
      <c r="B99" s="3" t="s">
        <v>63</v>
      </c>
      <c r="C99" s="5" t="s">
        <v>73</v>
      </c>
      <c r="D99" s="3" t="s">
        <v>1</v>
      </c>
      <c r="E99" s="5" t="s">
        <v>78</v>
      </c>
      <c r="F99" s="3">
        <v>411</v>
      </c>
      <c r="G99" s="5" t="s">
        <v>4</v>
      </c>
      <c r="H99" s="2">
        <f>H100</f>
        <v>0</v>
      </c>
    </row>
    <row r="100" spans="1:8" ht="12.75" hidden="1">
      <c r="A100" s="15" t="s">
        <v>20</v>
      </c>
      <c r="B100" s="3" t="s">
        <v>63</v>
      </c>
      <c r="C100" s="5" t="s">
        <v>73</v>
      </c>
      <c r="D100" s="3" t="s">
        <v>1</v>
      </c>
      <c r="E100" s="5" t="s">
        <v>78</v>
      </c>
      <c r="F100" s="3">
        <v>411</v>
      </c>
      <c r="G100" s="1">
        <v>300</v>
      </c>
      <c r="H100" s="2">
        <f>H101</f>
        <v>0</v>
      </c>
    </row>
    <row r="101" spans="1:8" ht="12.75" hidden="1">
      <c r="A101" s="15" t="s">
        <v>21</v>
      </c>
      <c r="B101" s="3" t="s">
        <v>63</v>
      </c>
      <c r="C101" s="5" t="s">
        <v>73</v>
      </c>
      <c r="D101" s="3" t="s">
        <v>1</v>
      </c>
      <c r="E101" s="5" t="s">
        <v>78</v>
      </c>
      <c r="F101" s="3">
        <v>411</v>
      </c>
      <c r="G101" s="1">
        <v>310</v>
      </c>
      <c r="H101" s="2"/>
    </row>
    <row r="102" spans="1:8" ht="12.75" hidden="1">
      <c r="A102" s="21"/>
      <c r="B102" s="3"/>
      <c r="D102" s="2"/>
      <c r="F102" s="2"/>
      <c r="H102" s="2"/>
    </row>
    <row r="103" spans="1:8" ht="12.75" hidden="1">
      <c r="A103" s="15" t="s">
        <v>40</v>
      </c>
      <c r="B103" s="3" t="s">
        <v>63</v>
      </c>
      <c r="C103" s="4" t="s">
        <v>41</v>
      </c>
      <c r="D103" s="3" t="s">
        <v>2</v>
      </c>
      <c r="E103" s="4" t="s">
        <v>3</v>
      </c>
      <c r="F103" s="3" t="s">
        <v>4</v>
      </c>
      <c r="G103" s="4" t="s">
        <v>4</v>
      </c>
      <c r="H103" s="2">
        <f>H104</f>
        <v>0</v>
      </c>
    </row>
    <row r="104" spans="1:8" ht="12.75" hidden="1">
      <c r="A104" s="15" t="s">
        <v>42</v>
      </c>
      <c r="B104" s="3" t="s">
        <v>63</v>
      </c>
      <c r="C104" s="4" t="s">
        <v>41</v>
      </c>
      <c r="D104" s="3" t="s">
        <v>43</v>
      </c>
      <c r="E104" s="4" t="s">
        <v>3</v>
      </c>
      <c r="F104" s="3" t="s">
        <v>4</v>
      </c>
      <c r="G104" s="4" t="s">
        <v>4</v>
      </c>
      <c r="H104" s="2">
        <f>H105</f>
        <v>0</v>
      </c>
    </row>
    <row r="105" spans="1:8" ht="12.75" hidden="1">
      <c r="A105" s="15" t="s">
        <v>44</v>
      </c>
      <c r="B105" s="3" t="s">
        <v>63</v>
      </c>
      <c r="C105" s="4" t="s">
        <v>41</v>
      </c>
      <c r="D105" s="3" t="s">
        <v>43</v>
      </c>
      <c r="E105" s="4" t="s">
        <v>45</v>
      </c>
      <c r="F105" s="3" t="s">
        <v>4</v>
      </c>
      <c r="G105" s="4" t="s">
        <v>4</v>
      </c>
      <c r="H105" s="2">
        <f>H106</f>
        <v>0</v>
      </c>
    </row>
    <row r="106" spans="1:8" ht="25.5" hidden="1">
      <c r="A106" s="15" t="s">
        <v>62</v>
      </c>
      <c r="B106" s="3" t="s">
        <v>63</v>
      </c>
      <c r="C106" s="4" t="s">
        <v>41</v>
      </c>
      <c r="D106" s="3" t="s">
        <v>43</v>
      </c>
      <c r="E106" s="4" t="s">
        <v>45</v>
      </c>
      <c r="F106" s="3">
        <v>611</v>
      </c>
      <c r="G106" s="4" t="s">
        <v>4</v>
      </c>
      <c r="H106" s="2">
        <f>H107</f>
        <v>0</v>
      </c>
    </row>
    <row r="107" spans="1:8" ht="12.75" hidden="1">
      <c r="A107" s="20" t="s">
        <v>46</v>
      </c>
      <c r="B107" s="3" t="s">
        <v>63</v>
      </c>
      <c r="C107" s="4" t="s">
        <v>41</v>
      </c>
      <c r="D107" s="3" t="s">
        <v>43</v>
      </c>
      <c r="E107" s="4" t="s">
        <v>45</v>
      </c>
      <c r="F107" s="3">
        <v>611</v>
      </c>
      <c r="G107" s="1">
        <v>260</v>
      </c>
      <c r="H107" s="2">
        <f>H108</f>
        <v>0</v>
      </c>
    </row>
    <row r="108" spans="1:8" ht="12.75" hidden="1">
      <c r="A108" s="20" t="s">
        <v>47</v>
      </c>
      <c r="B108" s="3" t="s">
        <v>63</v>
      </c>
      <c r="C108" s="4" t="s">
        <v>41</v>
      </c>
      <c r="D108" s="3" t="s">
        <v>43</v>
      </c>
      <c r="E108" s="4" t="s">
        <v>45</v>
      </c>
      <c r="F108" s="3">
        <v>611</v>
      </c>
      <c r="G108" s="4">
        <v>262</v>
      </c>
      <c r="H108" s="2"/>
    </row>
    <row r="109" spans="1:8" ht="12.75" hidden="1">
      <c r="A109" s="36"/>
      <c r="B109" s="35"/>
      <c r="C109" s="35"/>
      <c r="D109" s="11"/>
      <c r="E109" s="35"/>
      <c r="F109" s="35"/>
      <c r="G109" s="35"/>
      <c r="H109" s="19"/>
    </row>
    <row r="110" spans="1:8" ht="12.75">
      <c r="A110" s="33"/>
      <c r="B110" s="4"/>
      <c r="C110" s="4"/>
      <c r="D110" s="4"/>
      <c r="E110" s="4"/>
      <c r="F110" s="4"/>
      <c r="G110" s="4"/>
      <c r="H110" s="16"/>
    </row>
    <row r="111" spans="1:4" ht="12.75">
      <c r="A111" s="32" t="s">
        <v>106</v>
      </c>
      <c r="D111" s="5"/>
    </row>
  </sheetData>
  <sheetProtection/>
  <mergeCells count="2">
    <mergeCell ref="A6:H6"/>
    <mergeCell ref="E1:H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6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2022-09-28T15:16:26Z</cp:lastPrinted>
  <dcterms:created xsi:type="dcterms:W3CDTF">2005-12-27T06:54:28Z</dcterms:created>
  <dcterms:modified xsi:type="dcterms:W3CDTF">2022-10-05T07:35:14Z</dcterms:modified>
  <cp:category/>
  <cp:version/>
  <cp:contentType/>
  <cp:contentStatus/>
</cp:coreProperties>
</file>