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0" windowWidth="11100" windowHeight="5550" tabRatio="532" activeTab="6"/>
  </bookViews>
  <sheets>
    <sheet name="прил.4 ведомств" sheetId="1" r:id="rId1"/>
    <sheet name="ПРИЛ.3" sheetId="2" r:id="rId2"/>
    <sheet name="прил.6.1" sheetId="3" r:id="rId3"/>
    <sheet name="прил.6.2" sheetId="4" r:id="rId4"/>
    <sheet name="прил.6.3" sheetId="5" r:id="rId5"/>
    <sheet name="прил5" sheetId="6" r:id="rId6"/>
    <sheet name="прил.2" sheetId="7" r:id="rId7"/>
    <sheet name="прилож1" sheetId="8" r:id="rId8"/>
    <sheet name="ведфункц" sheetId="9" state="hidden" r:id="rId9"/>
  </sheets>
  <externalReferences>
    <externalReference r:id="rId12"/>
  </externalReferences>
  <definedNames>
    <definedName name="_xlnm.Print_Area" localSheetId="8">'ведфункц'!$A$1:$H$111</definedName>
  </definedNames>
  <calcPr fullCalcOnLoad="1"/>
</workbook>
</file>

<file path=xl/sharedStrings.xml><?xml version="1.0" encoding="utf-8"?>
<sst xmlns="http://schemas.openxmlformats.org/spreadsheetml/2006/main" count="2263" uniqueCount="532">
  <si>
    <t>ОБЩЕГОСУДАРСТВЕННЫЕ ВОПРОСЫ</t>
  </si>
  <si>
    <t>О1</t>
  </si>
  <si>
    <t>ОО</t>
  </si>
  <si>
    <t>ООО ОО 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</si>
  <si>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</si>
  <si>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</si>
  <si>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</si>
  <si>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Руководство и управление в сфере установленных функций</t>
  </si>
  <si>
    <t>ОО1 ОО ОО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</si>
  <si>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</si>
  <si>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</si>
  <si>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</si>
  <si>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</si>
  <si>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</si>
  <si>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</si>
  <si>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</si>
  <si>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</si>
  <si>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</si>
  <si>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</si>
  <si>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</si>
  <si>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</si>
  <si>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</si>
  <si>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</si>
  <si>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</si>
  <si>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</si>
  <si>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О8</t>
  </si>
  <si>
    <t>Культура</t>
  </si>
  <si>
    <t>440 ОО ОО</t>
  </si>
  <si>
    <t>Библиотеки</t>
  </si>
  <si>
    <t>442 ОО ОО</t>
  </si>
  <si>
    <t xml:space="preserve">     Коды ведомственной классификации</t>
  </si>
  <si>
    <t>Наименование</t>
  </si>
  <si>
    <t>глава</t>
  </si>
  <si>
    <t>раздел</t>
  </si>
  <si>
    <t>подраздел</t>
  </si>
  <si>
    <t>целевая статья расходов</t>
  </si>
  <si>
    <t>вид расходов</t>
  </si>
  <si>
    <t>экономическая статья расходов</t>
  </si>
  <si>
    <t>сумма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</si>
  <si>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</si>
  <si>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</si>
  <si>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</si>
  <si>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</si>
  <si>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</si>
  <si>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</si>
  <si>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519 ОО ОО</t>
  </si>
  <si>
    <t>Социальное обеспечение</t>
  </si>
  <si>
    <t>Пособия по социальной помощи населению</t>
  </si>
  <si>
    <t>000 1 00 00000 00 0000 000</t>
  </si>
  <si>
    <t xml:space="preserve"> ДОХОДЫ </t>
  </si>
  <si>
    <t>182 1 01 00000 00 0000 000</t>
  </si>
  <si>
    <t>Налоги на прибыль</t>
  </si>
  <si>
    <t>182 1 01 01000 00 0000 000</t>
  </si>
  <si>
    <t>182 1 01 02000 01 0000 110</t>
  </si>
  <si>
    <t xml:space="preserve">Налог на доходы физических лиц  </t>
  </si>
  <si>
    <t>182 1 06 00000 00 0000 000</t>
  </si>
  <si>
    <t>Налоги на имущество</t>
  </si>
  <si>
    <t>182 1 06 06000 00 0000 110</t>
  </si>
  <si>
    <t xml:space="preserve">Земельный налог </t>
  </si>
  <si>
    <t>БЕЗВОЗМЕЗДНЫЕ ПОСТУПЛЕНИЯ</t>
  </si>
  <si>
    <t xml:space="preserve"> ВСЕГО  ДОХОДОВ</t>
  </si>
  <si>
    <t>код</t>
  </si>
  <si>
    <t>Оплата жилищно-коммунальных услуг отдельным категорям граждан</t>
  </si>
  <si>
    <t>О45</t>
  </si>
  <si>
    <t>КБК</t>
  </si>
  <si>
    <t>экономи-ческая статья расходов</t>
  </si>
  <si>
    <t xml:space="preserve">к решению Думы </t>
  </si>
  <si>
    <t>Мобилизационная и вневойсковая подготовка</t>
  </si>
  <si>
    <t>НАЦИОНАЛЬНАЯ ОБОРОНА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</si>
  <si>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</si>
  <si>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</si>
  <si>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</si>
  <si>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</si>
  <si>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</si>
  <si>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26О ОО ОО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</si>
  <si>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</si>
  <si>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</si>
  <si>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</si>
  <si>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351 ОО ОО</t>
  </si>
  <si>
    <t>Жилищное хозяйство хозяйство</t>
  </si>
  <si>
    <t>182 1 06 01030 10 1000 110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</si>
  <si>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</si>
  <si>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</si>
  <si>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 ОО ОО</t>
  </si>
  <si>
    <t>Глава муниципального образования</t>
  </si>
  <si>
    <t>ОО2 О3 ОО</t>
  </si>
  <si>
    <t>Выполнение функций органами местного самоуправления</t>
  </si>
  <si>
    <t>ОО2 13 ОО</t>
  </si>
  <si>
    <t>5ОО</t>
  </si>
  <si>
    <t>Выполнение функций органами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</si>
  <si>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</si>
  <si>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ОО1 36 ОО</t>
  </si>
  <si>
    <t>Дворцы и дома культуры, другие учреждения культуры и средств массовой информации</t>
  </si>
  <si>
    <t>440 99 ОО</t>
  </si>
  <si>
    <t>Выполнение функций бюджетными учреждениями</t>
  </si>
  <si>
    <t>ОО1</t>
  </si>
  <si>
    <t>442 99 ОО</t>
  </si>
  <si>
    <t>Мероприятия в рамках административной реформы</t>
  </si>
  <si>
    <t>Приложение № 8</t>
  </si>
  <si>
    <t xml:space="preserve">"О бюджете муниципального образования </t>
  </si>
  <si>
    <t>"Олойское" на 2008 год"</t>
  </si>
  <si>
    <t>О58</t>
  </si>
  <si>
    <t xml:space="preserve">Администрация муниципального образования "Олойское" </t>
  </si>
  <si>
    <t>Ведомственная стуктура расходов бюджета муниципального образования "Олойское" на 2008 год</t>
  </si>
  <si>
    <t xml:space="preserve">Народный коллектив и Дом творчества </t>
  </si>
  <si>
    <t xml:space="preserve">Олойская   сельская  библиотека </t>
  </si>
  <si>
    <t>Начальник финансового отдела МО "Олойское":</t>
  </si>
  <si>
    <t xml:space="preserve">Арендная плата за пользование имуществом </t>
  </si>
  <si>
    <t>О14</t>
  </si>
  <si>
    <t>ОО2 04 ОО</t>
  </si>
  <si>
    <t>КУЛЬТУРА</t>
  </si>
  <si>
    <t>ВСЕГО</t>
  </si>
  <si>
    <t>(руб.)</t>
  </si>
  <si>
    <t>О70 05 00</t>
  </si>
  <si>
    <t>182 1 06 01000 00 0000 110</t>
  </si>
  <si>
    <t>Налог на имущество физических лиц</t>
  </si>
  <si>
    <t>182 1 06 06010 00 0000 110</t>
  </si>
  <si>
    <t>Земельный налог, взимаемым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</si>
  <si>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</si>
  <si>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Дотации на выравнивание уровня бюджетной обеспеченности </t>
  </si>
  <si>
    <t>Субсидии бюджетам субъектов  Российской Федерации и муниципальных образований (межбюджетные субсидии)</t>
  </si>
  <si>
    <t>182 1 05 00000 00 0000 000</t>
  </si>
  <si>
    <t>Единый сельскохозяйственный налог</t>
  </si>
  <si>
    <t>00</t>
  </si>
  <si>
    <t>000 00 00</t>
  </si>
  <si>
    <t>000</t>
  </si>
  <si>
    <t>01</t>
  </si>
  <si>
    <t>200</t>
  </si>
  <si>
    <t>260</t>
  </si>
  <si>
    <t>Налоги на совокупный доход</t>
  </si>
  <si>
    <t>Источники финансирования дефицита бюджета</t>
  </si>
  <si>
    <t>000 01 05 00 00 00 0000 000</t>
  </si>
  <si>
    <t>Уменьшение остатков средств бюджета</t>
  </si>
  <si>
    <t>Увеличение остатков средств бюджета</t>
  </si>
  <si>
    <t>6ОО О2 ОО</t>
  </si>
  <si>
    <t xml:space="preserve">Увеличение стоимости материальных запасов </t>
  </si>
  <si>
    <t>6ОО О5 ОО</t>
  </si>
  <si>
    <t>Изменение остатков средств средств на счетах по учету средств бюджета</t>
  </si>
  <si>
    <t>Увеличение  прочих остатков средств бюджета</t>
  </si>
  <si>
    <t>Увеличение  прочих остатков денежных средств бюджета</t>
  </si>
  <si>
    <t>Уменьшение  прочих остатков средств бюджета</t>
  </si>
  <si>
    <t>Уменьшение  прочих остатков денежных средств бюджета</t>
  </si>
  <si>
    <t>182 1 05 03 000 01 0000 110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</si>
  <si>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</si>
  <si>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ИТОГО  СОБСТВЕННЫХ ДОХОДОВ:</t>
  </si>
  <si>
    <t xml:space="preserve">       </t>
  </si>
  <si>
    <t>02</t>
  </si>
  <si>
    <t xml:space="preserve">                                                         Наименование 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</si>
  <si>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</si>
  <si>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</si>
  <si>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</si>
  <si>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182 1 01 02010 01 0000 110</t>
  </si>
  <si>
    <t>НАЛОГИ НА ПРИБЫЛЬ, ДОХОДЫ</t>
  </si>
  <si>
    <t>Закупка товаров, работ,услуг для муниципальных нужд</t>
  </si>
  <si>
    <t>Закупка товаров, работ,услуг сфере информационно-коммуникационных технологий</t>
  </si>
  <si>
    <t>221</t>
  </si>
  <si>
    <t>Прочие работы,услуги</t>
  </si>
  <si>
    <t>226</t>
  </si>
  <si>
    <t>Закупка товаров, работ,услуг в целях формирования муниципального материального резерва</t>
  </si>
  <si>
    <t>340</t>
  </si>
  <si>
    <t>Прочая закупка товаров,работ,услуг для муниципальных нужд</t>
  </si>
  <si>
    <t>Прочие работы, услуги</t>
  </si>
  <si>
    <t>Уплата налогов,сборов и иных платежей</t>
  </si>
  <si>
    <t>Уплата прочих налогов,сборов и иных платежей</t>
  </si>
  <si>
    <t>Закупка товаров,работ и услуг для государственных услуг</t>
  </si>
  <si>
    <t>Расходы на выплаты персоналу казенных учреждений</t>
  </si>
  <si>
    <t>Фонд оплаты труда и страховые взносы</t>
  </si>
  <si>
    <t>Приложение 1</t>
  </si>
  <si>
    <t>Приложение 2</t>
  </si>
  <si>
    <t>ОБЩЕЭКОНОМИЧЕСКИЕ ВОПРОСЫ</t>
  </si>
  <si>
    <t>04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</si>
  <si>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</si>
  <si>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>182 1 03 02230 01 0000 110</t>
  </si>
  <si>
    <t>182 1 03 02240 01 0000 110</t>
  </si>
  <si>
    <t>182 1 03 02250 01 0000 110</t>
  </si>
  <si>
    <t>182 1 03 02260 01 0000 110</t>
  </si>
  <si>
    <t>05</t>
  </si>
  <si>
    <t>03</t>
  </si>
  <si>
    <t>09</t>
  </si>
  <si>
    <t>613 01 03</t>
  </si>
  <si>
    <t>244</t>
  </si>
  <si>
    <t>Осуществление отдельных государственных полномочий в области водоотведения и водоснабжения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</si>
  <si>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</si>
  <si>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</si>
  <si>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</si>
  <si>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</si>
  <si>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512 97 00</t>
  </si>
  <si>
    <t>НАЛОГИ НА ТОВАРЫ (РАБОТЫ, УСЛУГИ), РЕАЛИЗУЕМЫЕ НА ТЕРРИТОРИИ РОССИЙСКОЙ ФЕДЕРАЦИИ</t>
  </si>
  <si>
    <t>315 02 00</t>
  </si>
  <si>
    <t xml:space="preserve"> Источники внутреннего финансирования</t>
  </si>
  <si>
    <t>14</t>
  </si>
  <si>
    <t>795 00 01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</si>
  <si>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</si>
  <si>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000 00 00 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</si>
  <si>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</si>
  <si>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</si>
  <si>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521 06 00</t>
  </si>
  <si>
    <t>Перечисления другим бюджетам Бюджетной системы РФ</t>
  </si>
  <si>
    <t>540</t>
  </si>
  <si>
    <t>251</t>
  </si>
  <si>
    <t>703 51 18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</si>
  <si>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</si>
  <si>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</si>
  <si>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 xml:space="preserve">90А 06 00 </t>
  </si>
  <si>
    <t>Объем взаимствований -  всего</t>
  </si>
  <si>
    <t>Приложение 5</t>
  </si>
  <si>
    <t>Коды бюджетной классификации Российской Федерации</t>
  </si>
  <si>
    <t xml:space="preserve">Наименование администратора  доходов поселения </t>
  </si>
  <si>
    <t xml:space="preserve">администратора доходов </t>
  </si>
  <si>
    <t>доходов поселения</t>
  </si>
  <si>
    <t xml:space="preserve"> 1 17 01050 10 0000 180</t>
  </si>
  <si>
    <t>Невыясненные поступления, зачисляемые в бюджеты поселений</t>
  </si>
  <si>
    <t>Прочие неналоговые доходы бюджетов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</si>
  <si>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</si>
  <si>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1 13 01995 10 0000 130 </t>
  </si>
  <si>
    <t>Прочие доходы от оказания платных услуг (работ) получателями средств  бюджетов поселений</t>
  </si>
  <si>
    <t>Код главного распорядителя</t>
  </si>
  <si>
    <t>Наименование главного распорядителя</t>
  </si>
  <si>
    <t>Кредиты кредитных организаций в валюте Российской Федерации</t>
  </si>
  <si>
    <t>000 01 00 00 00 00 0000 000</t>
  </si>
  <si>
    <t>Приложение 3</t>
  </si>
  <si>
    <t>Приложение 4</t>
  </si>
  <si>
    <t>182 1 06 06033 10 0000 110</t>
  </si>
  <si>
    <t>182 1 06 06043 10 0000 110</t>
  </si>
  <si>
    <t>Расходы на выплаты о оплате труда работников ОМСУ</t>
  </si>
  <si>
    <t>Расходы на обеспечение функций ОМСУ</t>
  </si>
  <si>
    <t>Проведение воспитательной,пропагандисткой работы с населением поселения,направленная на предупреждение террористической и экстремистской деятельности</t>
  </si>
  <si>
    <t>Иные бюджетные ассигнования</t>
  </si>
  <si>
    <t>Межбюджетные транферты</t>
  </si>
  <si>
    <t>500</t>
  </si>
  <si>
    <t xml:space="preserve">Обеспечение досуговой деятельности </t>
  </si>
  <si>
    <t>Расходы на обеспечение функций казенных учреждений</t>
  </si>
  <si>
    <t>Обеспечение библиотечной деятельности</t>
  </si>
  <si>
    <t>452 99 ОО</t>
  </si>
  <si>
    <t>600 01 00</t>
  </si>
  <si>
    <t>600 04 00</t>
  </si>
  <si>
    <t>КУЛЬТУРА, КИНЕМАТОГРАФИЯ</t>
  </si>
  <si>
    <t>ИТОГО</t>
  </si>
  <si>
    <t>целевая статья</t>
  </si>
  <si>
    <t>440 00 00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</si>
  <si>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</si>
  <si>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</si>
  <si>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УЛИЧНОЕ ОСВЕЩЕНИЕ</t>
  </si>
  <si>
    <t>БЛАГОУСТРОЙСТВО</t>
  </si>
  <si>
    <t>ДОРОЖНОЕ ХОЗЯЙСТВО</t>
  </si>
  <si>
    <t>ИСПОЛНЕНИЕ ПЕРЕДАННЫХ ГОСУДАРСТВЕННЫХ ПОЛНОМОЧИЙ РФ И ИРКУТСКОЙ ОБЛАСТИ</t>
  </si>
  <si>
    <t>НАЦИОНАЛЬНАЯ ЭКОНОМИКА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</si>
  <si>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</si>
  <si>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</si>
  <si>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РЕЗЕРВНЫЙ ФОНД ИСПОЛНИТЕЛЬНЫХ ОРГАНОВ ГОСУДАРСТВЕННОЙ ВЛАСТИ (МЕСТНЫХ АДМИНИСТРАЦИЙ)</t>
  </si>
  <si>
    <t>Уплата налога на имущество организаций и земельного налога</t>
  </si>
  <si>
    <t>Обеспечение непредвиденных расходов за счет средств резервного фонда</t>
  </si>
  <si>
    <t>Резервные средства</t>
  </si>
  <si>
    <t>290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</si>
  <si>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</si>
  <si>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</si>
  <si>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товаров,работ и услуг для муниципальных нужд</t>
  </si>
  <si>
    <t>240</t>
  </si>
  <si>
    <t>увеличение стоимости материальных запасов</t>
  </si>
  <si>
    <t>100</t>
  </si>
  <si>
    <t>МУНИЦИПАЛЬНЫЕ ПРОГРАММЫ</t>
  </si>
  <si>
    <t>Прочая закупка товаров, работ,услуг для муниципальных нужд</t>
  </si>
  <si>
    <t>Иные межбюджетные трансферты</t>
  </si>
  <si>
    <t>Расходы на выплаты по оплате труда персоналу казенных учреждений</t>
  </si>
  <si>
    <t>91 1 00 00000</t>
  </si>
  <si>
    <t>91 1 12 90110</t>
  </si>
  <si>
    <t>91 1 12 90120</t>
  </si>
  <si>
    <t>91 2 00 00000</t>
  </si>
  <si>
    <t>91 2  00 00000</t>
  </si>
  <si>
    <t>91 2 02 51180</t>
  </si>
  <si>
    <t>91 2 01 73110</t>
  </si>
  <si>
    <t>91 3 14 90150</t>
  </si>
  <si>
    <t>91 4 04 90190</t>
  </si>
  <si>
    <t>91 4 05 90200</t>
  </si>
  <si>
    <t>91 8 09 90240</t>
  </si>
  <si>
    <t>91 7 00 00000</t>
  </si>
  <si>
    <t>91 7 10 90310</t>
  </si>
  <si>
    <t>91 7 10 90320</t>
  </si>
  <si>
    <t>Уплата  прочих налогов,сборов и иных платежей</t>
  </si>
  <si>
    <t>91 7 11 00000</t>
  </si>
  <si>
    <t>91 7 11 90320</t>
  </si>
  <si>
    <t>0 0 00 00000</t>
  </si>
  <si>
    <t xml:space="preserve"> 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</si>
  <si>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</si>
  <si>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</si>
  <si>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</si>
  <si>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трансферты,передаваемые бюджетам сельских поселений</t>
  </si>
  <si>
    <t>плановый период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</si>
  <si>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</si>
  <si>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</si>
  <si>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объем  условно утверждаемых  расходов</t>
  </si>
  <si>
    <t>( руб.)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</si>
  <si>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Courier New"/>
        <family val="3"/>
      </rPr>
      <t>1</t>
    </r>
    <r>
      <rPr>
        <sz val="10"/>
        <rFont val="Courier New"/>
        <family val="3"/>
      </rPr>
      <t xml:space="preserve"> и 228 Налогового кодекса Российской Федерации</t>
    </r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</si>
  <si>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</si>
  <si>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</si>
  <si>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</si>
  <si>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</si>
  <si>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</si>
  <si>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</si>
  <si>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</si>
  <si>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</si>
  <si>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</si>
  <si>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1 17 01050 10 0000 180</t>
  </si>
  <si>
    <t>1 17 05050 10 0000 180</t>
  </si>
  <si>
    <t>7950100000</t>
  </si>
  <si>
    <t>91 8 00 00000</t>
  </si>
  <si>
    <t>ОБЕСПЕЧЕНИЕ ПРОВЕДЕНИЯ ВЫБОРОВ И РЕФЕРЕНДУМОВ</t>
  </si>
  <si>
    <t>Расходы на подготовку и проведение выборов органов местного самоуправления</t>
  </si>
  <si>
    <t>07</t>
  </si>
  <si>
    <t>91 1 14 90140</t>
  </si>
  <si>
    <t>прочие расходы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</si>
  <si>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</si>
  <si>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</si>
  <si>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12</t>
  </si>
  <si>
    <t>91 9 13 90270</t>
  </si>
  <si>
    <t>НАЦИОНАЛЬНАЯ БЕЗОПАСНОСТЬ И ПРАВООХРАНИТЕЛЬНАЯ ДЕЯТЕЛЬНОСТЬ</t>
  </si>
  <si>
    <t>Администрация муниципального образования "Гаханское"</t>
  </si>
  <si>
    <t>Финансовый отдел администрации муниципального образования "Гаханское"</t>
  </si>
  <si>
    <t>250</t>
  </si>
  <si>
    <t>030</t>
  </si>
  <si>
    <t>АДМИНИСТРАЦИЯ МУНИЦИПАЛЬНОГО ОБРАЗОВАНИЯ "ГАХАНСКОЕ"</t>
  </si>
  <si>
    <t>МКУК  КИЦ МО "ГАХАНСКОЕ"</t>
  </si>
  <si>
    <t>610</t>
  </si>
  <si>
    <t>Дорожный фонд МО  "ГАХАНСКОЕ"</t>
  </si>
  <si>
    <t>91 8 75 90280</t>
  </si>
  <si>
    <t xml:space="preserve">Муниципальная целевая программа «Профилактика терроризма и экстремизма в муниципальном 
образовании «Гаханское» на 2017 -2019 годы »
</t>
  </si>
  <si>
    <t>91 8 76 90280</t>
  </si>
  <si>
    <t xml:space="preserve">Муниципальная целевая программа «ПРОФИЛАКТИКА ПРАВОНАРУШЕНИЙ НА ТЕРРИТОРИИ МУНИЦИПАЛЬНОГО ОБРАЗОВАНИЯ «ГАХАНСКОЕ» НА 2017-2022 ГОДЫ»
</t>
  </si>
  <si>
    <t>91 8 77 90280</t>
  </si>
  <si>
    <t>91 7 06 90220</t>
  </si>
  <si>
    <t>91 5 05 90320</t>
  </si>
  <si>
    <t>Муниципальная программа "Развитие предпринимательства  и туризма в муниципальном образовании "Гаханское" на 2019-2023 гг."</t>
  </si>
  <si>
    <t>91 9 13 90280</t>
  </si>
  <si>
    <t>2021 год</t>
  </si>
  <si>
    <t>2 02 15001 10 0000 150</t>
  </si>
  <si>
    <t>2 02 29999 10 0000 150</t>
  </si>
  <si>
    <t>2 02 35118 10 0000 150</t>
  </si>
  <si>
    <t>2 02 49999 10 0000 150</t>
  </si>
  <si>
    <t>182 1 03 00000 00 0000 000</t>
  </si>
  <si>
    <t>030 2 00 00000 00 0000 000</t>
  </si>
  <si>
    <t>030 2 02 00000 00 0000 000</t>
  </si>
  <si>
    <t>Дотации бюджетам сельских поселений на выравнивание бюджетной обеспеченности поселений из бюджета муниципального района</t>
  </si>
  <si>
    <t>Дотации бюджетам сельских поселений на выравнивание бюджетной обеспеченности поселений из областного бюджета</t>
  </si>
  <si>
    <t>Муниципальная программа "Формирование современной городской среды муниципального образования "Гаханское" на 2018-2024 годы"</t>
  </si>
  <si>
    <t>2022 год</t>
  </si>
  <si>
    <t>Увеличение ст-ти основных средств</t>
  </si>
  <si>
    <t>Муниципальная программа "Градостроительство в муниципальном образовании "Гаханское" на 2018-2020 гг."</t>
  </si>
  <si>
    <t>Услуги, работы для целей капитальных вложений (разработка проектной и сметной документации для строительства, экспертиза проектной документации)</t>
  </si>
  <si>
    <t>РЕАЛИЗАЦИЯ МЕРОПРИЯТИЙ ПЕРЕЧНЯ НАРОДНЫХ ИНИЦИАТИВ (ОБЛАСТНОЙ БЮДЖЕТ)</t>
  </si>
  <si>
    <t>РЕАЛИЗАЦИЯ МЕРОПРИЯТИЙ ПЕРЕЧНЯ НАРОДНЫХ ИНИЦИАТИВ (СОФИНАНСИРОВАНИЕ ИЗ МЕСТНОГО БЮДЖЕТА)</t>
  </si>
  <si>
    <t>030 2 02 15001 10 0000 150</t>
  </si>
  <si>
    <t>030 2 02 01001 00 0000 150</t>
  </si>
  <si>
    <t>030 2 02 29999 10 0000 150</t>
  </si>
  <si>
    <t>030 2 02 30024 00 0000 150</t>
  </si>
  <si>
    <t>030 2 02 30024 10 0000 150</t>
  </si>
  <si>
    <t>Перечень главных администраторов                                                                                                                                                                                     источников  финансирования    дефицита  бюджета муниципального образования "Гаханское"                                                                                                                                на 2020 год и плановый период на 2021-2022 годы»</t>
  </si>
  <si>
    <t>прочие работы, услуги</t>
  </si>
  <si>
    <t xml:space="preserve">Перечень главных администраторов доходов  бюджета муниципального образования "Гаханское"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</si>
  <si>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</si>
  <si>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</si>
  <si>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2 08 05000 10 0000 150</t>
  </si>
  <si>
    <t xml:space="preserve"> 2 02 30024 10 0000 150</t>
  </si>
  <si>
    <t>91 4 05 90190</t>
  </si>
  <si>
    <t>увеличение стоимости мат.запасов</t>
  </si>
  <si>
    <t xml:space="preserve">Прогнозируемые доходы бюджета муниципального образования "Гаханское" </t>
  </si>
  <si>
    <t>000 01 05 02 00 00 0000 500</t>
  </si>
  <si>
    <t xml:space="preserve"> 2021 год</t>
  </si>
  <si>
    <t>2023 год</t>
  </si>
  <si>
    <t>030 2 02 25555 10 0000 150</t>
  </si>
  <si>
    <t>030 2 02 35118 10 0000 150</t>
  </si>
  <si>
    <t>030 2 02 35118 00 0000 150</t>
  </si>
  <si>
    <t>030 2 02 30000 00 0000 150</t>
  </si>
  <si>
    <t>030 2 02 40000 00 0000 150</t>
  </si>
  <si>
    <t>030 2 02 49999 00 0000 150</t>
  </si>
  <si>
    <t>030 2 02 20000 00 0000 150</t>
  </si>
  <si>
    <t>Субсидии бюджетам сельских поселений на  реализацию программ формирования современной городской среды</t>
  </si>
  <si>
    <t xml:space="preserve">030 </t>
  </si>
  <si>
    <t>2 02 25555 10 0000 150</t>
  </si>
  <si>
    <t>Ведомственная стуктура расходов бюджета муниципального образования "Гаханское" на 2021 год и плановый период 2022-2023 гг.</t>
  </si>
  <si>
    <t>Источники внутреннего финансирования дефицита бюджета - всего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</si>
  <si>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</si>
  <si>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</si>
  <si>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</si>
  <si>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</si>
  <si>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</si>
  <si>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</si>
  <si>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</si>
  <si>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</si>
  <si>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</si>
  <si>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000 01 05 00 00 00 0000 600</t>
  </si>
  <si>
    <t>000 01 05 02 00 10 0000 600</t>
  </si>
  <si>
    <t>000 01 05 02 01 00 0000 610</t>
  </si>
  <si>
    <t>Уменьшение  прочих остатков денежных средств бюджета субъектов Российской Федерации</t>
  </si>
  <si>
    <t>Иные источники внутреннего финансирования дефицитов бюджетов</t>
  </si>
  <si>
    <t>001 01 06 00 00 00 0000 000</t>
  </si>
  <si>
    <t xml:space="preserve">            дефицита  бюджета муниципального образования "Гаханское"  на 2021 год и плановый период 2022-2023 гг.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</si>
  <si>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</si>
  <si>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</si>
  <si>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 xml:space="preserve">Муниципальная целевая программа «Обеспечение пожарной безопасности в границах МО «Гаханское» на 2020-2023 гг. 
</t>
  </si>
  <si>
    <t>Обслуживание государственного и муниципального долга</t>
  </si>
  <si>
    <t>91 7 07 90230</t>
  </si>
  <si>
    <t xml:space="preserve">Обслуживание государственного (муниципального) долга
 </t>
  </si>
  <si>
    <t>Расходы на обслуживание государственного (муниципального) долга</t>
  </si>
  <si>
    <t>Обслуживание муниципального долга</t>
  </si>
  <si>
    <t>Расходы на обслуживание муниципального долга (бюджет МО "Гаханское")</t>
  </si>
  <si>
    <t>Обслуживание внутреннего долга</t>
  </si>
  <si>
    <r>
      <t xml:space="preserve">Поддержка муниципальных программ формирования современной городской среды </t>
    </r>
    <r>
      <rPr>
        <b/>
        <sz val="8"/>
        <rFont val="Courier New"/>
        <family val="3"/>
      </rPr>
      <t>(план 2021г: ФБ - 600128,89 руб., ОБ - 142254,25 руб. Всего: 742383,14 руб.)</t>
    </r>
  </si>
  <si>
    <t>310</t>
  </si>
  <si>
    <t xml:space="preserve">Софинансирование мероприятий по поддержке муниципальных программ формирования современной городской среды </t>
  </si>
  <si>
    <t>Приложение 6.1</t>
  </si>
  <si>
    <t>Программа муниципальных внутренних заимствований муниципального образования "Гаханское" на 2021 год</t>
  </si>
  <si>
    <t>Виды долговых обязательств (привлечение/погашение)</t>
  </si>
  <si>
    <t>Объем муниципального долга на 1 января 2021 года</t>
  </si>
  <si>
    <t>Объем погашения в 2021 году</t>
  </si>
  <si>
    <t>Объем привлечения в 2021 году</t>
  </si>
  <si>
    <t>Объем списания в 2021 году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</si>
  <si>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</si>
  <si>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</si>
  <si>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</si>
  <si>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>2.1. Кредитные договоры, заключенные до 01.01.2020г.</t>
  </si>
  <si>
    <t>2.2. Кредитные договоры, заключенные в 2020г. сроком до 3-х лет</t>
  </si>
  <si>
    <t>3. Бюджетные кредиты от других бюджетов бюджетной системы Российской Федерации</t>
  </si>
  <si>
    <t>Объем муниципального долга на 1 января 2022 года</t>
  </si>
  <si>
    <t>(рублей)</t>
  </si>
  <si>
    <t>Объем привлечения в 2022 году</t>
  </si>
  <si>
    <t>Объем погашения в 2022 году</t>
  </si>
  <si>
    <t>Объем списания в 2022 году</t>
  </si>
  <si>
    <t>Объем муниципального долга на 1 января 2023 года</t>
  </si>
  <si>
    <t>Программа муниципальных внутренних заимствований муниципального образования "Гаханское" на 2022 год</t>
  </si>
  <si>
    <t>Программа муниципальных внутренних заимствований муниципального образования "Гаханское" на 2023 год</t>
  </si>
  <si>
    <t>Объем привлечения в 2023 году</t>
  </si>
  <si>
    <t>Объем погашения в 2023 году</t>
  </si>
  <si>
    <t>Объем списания в 2023 году</t>
  </si>
  <si>
    <t>Объем муниципального долга на 1 января 2024 года</t>
  </si>
  <si>
    <t>Привлечение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</si>
  <si>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</si>
  <si>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</si>
  <si>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</si>
  <si>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000 01 05 02 00 10 0000 500</t>
  </si>
  <si>
    <t>000 01 05 02 01 10 0000 510</t>
  </si>
  <si>
    <t>000 01 05 02 01 10 0000 610</t>
  </si>
  <si>
    <t>Закупка энергетических ресурсов</t>
  </si>
  <si>
    <t>000 01 05 02 01 02 0000 510</t>
  </si>
  <si>
    <t>000 01 02 00 00 00 0000 000</t>
  </si>
  <si>
    <t>000 01 02 00 00 00 0000 700</t>
  </si>
  <si>
    <t>000 01 02 00 00 10 0000 710</t>
  </si>
  <si>
    <t>000 01 02 00 00 00 0000 800</t>
  </si>
  <si>
    <t>000 01 02 00 00 10 0000 810</t>
  </si>
  <si>
    <t>000 01 03 00 00 00 0000 000</t>
  </si>
  <si>
    <t>000 01 03 00 00 00 0000 700</t>
  </si>
  <si>
    <t>000 01 03 00 00 10 0000 710</t>
  </si>
  <si>
    <t>000 01 03 00 00 00 0000 800</t>
  </si>
  <si>
    <t>000 01 03 00 00 10 0000 810</t>
  </si>
  <si>
    <t>91 1 01 90110</t>
  </si>
  <si>
    <t>91 1 02 90120</t>
  </si>
  <si>
    <t>91 1 03 90130</t>
  </si>
  <si>
    <t>91 2 01 73150</t>
  </si>
  <si>
    <t>91 2 03 73110</t>
  </si>
  <si>
    <t>91 5 00 00000</t>
  </si>
  <si>
    <t>91 5 03 00000</t>
  </si>
  <si>
    <t>91 5 F2 55551</t>
  </si>
  <si>
    <t xml:space="preserve">91 7 10 90310 </t>
  </si>
  <si>
    <t>эту строку можно удалить, т.к. она повторяется (строка 62)</t>
  </si>
  <si>
    <t>79 5 01 90140</t>
  </si>
  <si>
    <t>Реализация основного мероприятия муниципальных программ</t>
  </si>
  <si>
    <t>10</t>
  </si>
  <si>
    <t>91 2 03 00000</t>
  </si>
  <si>
    <t>Регулирование цен (тарифов) в сфере водоснабжения и водоотведения</t>
  </si>
  <si>
    <t>91 4 01 00000</t>
  </si>
  <si>
    <t>Реализация мероприятий по поддержке дорожного хозяйства</t>
  </si>
  <si>
    <t>91 4 02 00000</t>
  </si>
  <si>
    <t>Развитие жилищно-коммунального хозяйства и благоустройство</t>
  </si>
  <si>
    <t>91 5 01 00000</t>
  </si>
  <si>
    <t>Реализация мероприятий в области коммунального хозяйства</t>
  </si>
  <si>
    <t>91 5 02 00000</t>
  </si>
  <si>
    <t>Реализация мероприятий по благоустройству</t>
  </si>
  <si>
    <t>91 5 03 90170</t>
  </si>
  <si>
    <t>91 5 05 00000</t>
  </si>
  <si>
    <t>79 5 03 90140</t>
  </si>
  <si>
    <t>91 7 10 00000</t>
  </si>
  <si>
    <t>это строка дублирует предыдущую. Зачем она?</t>
  </si>
  <si>
    <t>91 7 11 90310</t>
  </si>
  <si>
    <t>OO</t>
  </si>
  <si>
    <t>Создание условий для устойчивого экономического развития</t>
  </si>
  <si>
    <t>Обеспечение эффективного управления и использования муниципального имущества</t>
  </si>
  <si>
    <t>91 1 02 00000</t>
  </si>
  <si>
    <t>91 1 01 00000</t>
  </si>
  <si>
    <t>91 1 03 00000</t>
  </si>
  <si>
    <t>79 5 00 00000</t>
  </si>
  <si>
    <t>79 5 01 00000</t>
  </si>
  <si>
    <t>79 5 02 00000</t>
  </si>
  <si>
    <t>79 5 02 90140</t>
  </si>
  <si>
    <t>91 4 00 00000</t>
  </si>
  <si>
    <t>91 4 01 90150</t>
  </si>
  <si>
    <t>91 4 02 90160</t>
  </si>
  <si>
    <t>91 5 01 90170</t>
  </si>
  <si>
    <t>91 5 02 90180</t>
  </si>
  <si>
    <t>91 5 03 90180</t>
  </si>
  <si>
    <t>91 5 04 90180</t>
  </si>
  <si>
    <t>91 5 04 00000</t>
  </si>
  <si>
    <t>91 5 05 S2370</t>
  </si>
  <si>
    <t>79 5 03 00000</t>
  </si>
  <si>
    <t>91 6 00 00000</t>
  </si>
  <si>
    <t>91 6 01 00000</t>
  </si>
  <si>
    <t>91 6 01 90190</t>
  </si>
  <si>
    <t>91 8 01 00000</t>
  </si>
  <si>
    <t>91 8 01 90200</t>
  </si>
  <si>
    <t>Приложение 6.2</t>
  </si>
  <si>
    <t>Приложение 6.3</t>
  </si>
  <si>
    <t>Капитальные вложения в объекты государственной (муниципальной) собственности</t>
  </si>
  <si>
    <t>Дефицит+Остатки бюдж.средств на 01.01.2021г.</t>
  </si>
  <si>
    <t xml:space="preserve">Муниципальная программа "Комплексное развитие сельских территорий" на 2021-2025 годы в части создания условий для обеспечения доступным и комфортным жильём сельского населения (софинансирование из местного бюджета) </t>
  </si>
  <si>
    <t>79 5 04 90320</t>
  </si>
  <si>
    <t>Бюджетные инвестиции в объекты капитального строительства государственной (муниципальной) собственности</t>
  </si>
  <si>
    <t>030 2 02 25576 10 0000 150</t>
  </si>
  <si>
    <t>Субсидии бюджетам сельских поселений на обеспечение комплексного развития сельских территорий</t>
  </si>
  <si>
    <t>Субсидии бюджетам сельских поселений на реализацию общественно значимых проектов по благоустройству сельских территорий в рамках обеспечения комплексного развития сельских территорий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</si>
  <si>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</si>
  <si>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</si>
  <si>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2 02 25576 10 0000 150</t>
  </si>
  <si>
    <t>ОО 0 00 00000</t>
  </si>
  <si>
    <t>00 0 00 00000</t>
  </si>
  <si>
    <t>91 Л 02 L5762</t>
  </si>
  <si>
    <t>60 тыс изыскать</t>
  </si>
  <si>
    <t>Мероприятия по реализации общественно значимых проектов по благоустройству сельских территорий в рамках обеспечения комплексного развития сельских территорий (код цели 21-55760-00000-02000)</t>
  </si>
  <si>
    <t>Софинансирование мероприятий по реализации общественно значимых проектов по благоустройству сельских территорий в рамках обеспечения комплексного развития сельских территорий(код цели 21-55760-00000-02000)</t>
  </si>
  <si>
    <t>РЕАЛИЗАЦИЯ ОБЩЕСТВЕННО ЗНАЧИМЫХ ПРОЕКТОВ ПО БЛАГОУСТРОЙСТВУ СЕЛЬСКИХ ТЕРРИТОРИЙ ЗА СЧЕТ СРЕДСТВ ОБЛАСТНОГО БЮДЖЕТА (код цели 21268450100101000000)</t>
  </si>
  <si>
    <t>91 Л 02 S2870</t>
  </si>
  <si>
    <t>СОФИНАНСИРОВАНИЕ МЕРОПРИЯТИЙ ПО РЕАЛИЗАЦИИ ОБЩЕСТЕННО ЗНАЧИМЫХ ПРОЕКТОВ ПО БЛАГОУСТРОЙСТВУ СЕЛЬСКИХ ТЕРРИТОРИЙ ИЗ МЕСТНОГО БЮДЖЕТА(код цели 21268450100101000000)</t>
  </si>
  <si>
    <t>РЕАЛИЗАЦИЯ МЕРОПРИЯТИЙ ПЕРЕЧНЯ ПРОЕКТОВ НАРОДНЫХ ИНИЦИАТИВ</t>
  </si>
  <si>
    <t>91 7 10 S2370</t>
  </si>
  <si>
    <t>к проекту решения Думы МО "Гаханское" от "11" марта 2021 г. №82  "О внесении изменений в Решение Думы муниципального образования "Гаханское" от 24.12.2020 г. №76 "О бюджете муниципального образования «Гаханское» на 2021 год и плановый период 2022 - 2023 гг."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</si>
</sst>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0&quot;р.&quot;"/>
    <numFmt numFmtId="181" formatCode="0.0000"/>
    <numFmt numFmtId="182" formatCode="#,##0.0"/>
  </numFmts>
  <fonts count="7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b/>
      <sz val="10"/>
      <color indexed="8"/>
      <name val="Courier New"/>
      <family val="3"/>
    </font>
    <font>
      <vertAlign val="superscript"/>
      <sz val="10"/>
      <name val="Courier New"/>
      <family val="3"/>
    </font>
    <font>
      <sz val="9"/>
      <name val="Courier New"/>
      <family val="3"/>
    </font>
    <font>
      <sz val="10"/>
      <color indexed="8"/>
      <name val="Courier New"/>
      <family val="3"/>
    </font>
    <font>
      <b/>
      <i/>
      <sz val="10"/>
      <name val="Courier New"/>
      <family val="3"/>
    </font>
    <font>
      <i/>
      <sz val="10"/>
      <name val="Courier New"/>
      <family val="3"/>
    </font>
    <font>
      <b/>
      <sz val="9"/>
      <name val="Courier New"/>
      <family val="3"/>
    </font>
    <font>
      <b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ourier New"/>
      <family val="3"/>
    </font>
    <font>
      <b/>
      <i/>
      <sz val="10"/>
      <color indexed="10"/>
      <name val="Courier New"/>
      <family val="3"/>
    </font>
    <font>
      <sz val="10"/>
      <color indexed="10"/>
      <name val="Arial Cyr"/>
      <family val="0"/>
    </font>
    <font>
      <b/>
      <sz val="10"/>
      <color indexed="10"/>
      <name val="Courier New"/>
      <family val="3"/>
    </font>
    <font>
      <b/>
      <sz val="10"/>
      <color indexed="10"/>
      <name val="Times New Roman"/>
      <family val="1"/>
    </font>
    <font>
      <i/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i/>
      <sz val="10"/>
      <color rgb="FFFF0000"/>
      <name val="Courier New"/>
      <family val="3"/>
    </font>
    <font>
      <sz val="10"/>
      <color rgb="FFFF0000"/>
      <name val="Arial Cyr"/>
      <family val="0"/>
    </font>
    <font>
      <b/>
      <sz val="10"/>
      <color rgb="FFFF0000"/>
      <name val="Courier New"/>
      <family val="3"/>
    </font>
    <font>
      <b/>
      <sz val="10"/>
      <color rgb="FFFF0000"/>
      <name val="Times New Roman"/>
      <family val="1"/>
    </font>
    <font>
      <i/>
      <sz val="10"/>
      <color rgb="FFFF0000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172" fontId="0" fillId="0" borderId="0" xfId="0" applyNumberFormat="1" applyAlignment="1">
      <alignment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72" fontId="0" fillId="0" borderId="11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horizontal="justify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wrapText="1"/>
    </xf>
    <xf numFmtId="0" fontId="6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 vertical="distributed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14" fillId="0" borderId="27" xfId="0" applyFont="1" applyBorder="1" applyAlignment="1">
      <alignment horizontal="left" wrapText="1"/>
    </xf>
    <xf numFmtId="0" fontId="14" fillId="0" borderId="30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left" wrapText="1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0" xfId="0" applyFont="1" applyBorder="1" applyAlignment="1">
      <alignment horizontal="left" wrapText="1"/>
    </xf>
    <xf numFmtId="0" fontId="15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left" wrapText="1"/>
    </xf>
    <xf numFmtId="0" fontId="15" fillId="0" borderId="29" xfId="0" applyFont="1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0" fontId="14" fillId="0" borderId="30" xfId="0" applyFont="1" applyBorder="1" applyAlignment="1">
      <alignment horizontal="center" wrapText="1"/>
    </xf>
    <xf numFmtId="0" fontId="14" fillId="0" borderId="30" xfId="0" applyFont="1" applyBorder="1" applyAlignment="1">
      <alignment vertical="center" wrapText="1"/>
    </xf>
    <xf numFmtId="0" fontId="14" fillId="0" borderId="30" xfId="0" applyFont="1" applyBorder="1" applyAlignment="1">
      <alignment wrapText="1"/>
    </xf>
    <xf numFmtId="0" fontId="14" fillId="0" borderId="37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5" fillId="0" borderId="30" xfId="0" applyFont="1" applyBorder="1" applyAlignment="1">
      <alignment wrapText="1"/>
    </xf>
    <xf numFmtId="0" fontId="14" fillId="0" borderId="34" xfId="0" applyFont="1" applyBorder="1" applyAlignment="1">
      <alignment wrapText="1"/>
    </xf>
    <xf numFmtId="0" fontId="16" fillId="0" borderId="30" xfId="0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 horizontal="justify"/>
    </xf>
    <xf numFmtId="0" fontId="0" fillId="0" borderId="24" xfId="0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5" fillId="0" borderId="23" xfId="0" applyFont="1" applyBorder="1" applyAlignment="1">
      <alignment horizontal="left" wrapText="1"/>
    </xf>
    <xf numFmtId="3" fontId="14" fillId="0" borderId="11" xfId="53" applyNumberFormat="1" applyFont="1" applyFill="1" applyBorder="1" applyAlignment="1" applyProtection="1">
      <alignment horizontal="center" vertical="center" wrapText="1"/>
      <protection/>
    </xf>
    <xf numFmtId="3" fontId="15" fillId="0" borderId="39" xfId="53" applyNumberFormat="1" applyFont="1" applyFill="1" applyBorder="1" applyAlignment="1" applyProtection="1">
      <alignment horizontal="center" vertical="center" wrapText="1"/>
      <protection/>
    </xf>
    <xf numFmtId="3" fontId="15" fillId="0" borderId="40" xfId="53" applyNumberFormat="1" applyFont="1" applyFill="1" applyBorder="1" applyAlignment="1" applyProtection="1">
      <alignment horizontal="center" vertical="center" wrapText="1"/>
      <protection/>
    </xf>
    <xf numFmtId="3" fontId="15" fillId="0" borderId="41" xfId="53" applyNumberFormat="1" applyFont="1" applyFill="1" applyBorder="1" applyAlignment="1" applyProtection="1">
      <alignment horizontal="center" vertical="center" wrapText="1"/>
      <protection/>
    </xf>
    <xf numFmtId="3" fontId="14" fillId="0" borderId="30" xfId="53" applyNumberFormat="1" applyFont="1" applyFill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>
      <alignment vertic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left" wrapText="1"/>
    </xf>
    <xf numFmtId="0" fontId="12" fillId="33" borderId="23" xfId="0" applyFont="1" applyFill="1" applyBorder="1" applyAlignment="1">
      <alignment horizontal="left" wrapText="1"/>
    </xf>
    <xf numFmtId="0" fontId="12" fillId="33" borderId="22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1" fontId="0" fillId="0" borderId="0" xfId="0" applyNumberFormat="1" applyAlignment="1">
      <alignment vertical="center" wrapText="1"/>
    </xf>
    <xf numFmtId="0" fontId="14" fillId="33" borderId="23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4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66" fillId="0" borderId="1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49" fontId="67" fillId="33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14" fillId="33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3" fontId="15" fillId="0" borderId="23" xfId="53" applyNumberFormat="1" applyFont="1" applyFill="1" applyBorder="1" applyAlignment="1" applyProtection="1">
      <alignment vertical="center" wrapText="1"/>
      <protection locked="0"/>
    </xf>
    <xf numFmtId="3" fontId="15" fillId="0" borderId="30" xfId="53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69" fillId="0" borderId="15" xfId="0" applyFont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center" vertical="center"/>
    </xf>
    <xf numFmtId="49" fontId="14" fillId="34" borderId="15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top" wrapText="1"/>
    </xf>
    <xf numFmtId="49" fontId="68" fillId="34" borderId="15" xfId="0" applyNumberFormat="1" applyFont="1" applyFill="1" applyBorder="1" applyAlignment="1">
      <alignment horizontal="center" vertical="center"/>
    </xf>
    <xf numFmtId="49" fontId="15" fillId="34" borderId="15" xfId="0" applyNumberFormat="1" applyFont="1" applyFill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4" fontId="15" fillId="33" borderId="27" xfId="0" applyNumberFormat="1" applyFont="1" applyFill="1" applyBorder="1" applyAlignment="1">
      <alignment horizontal="center"/>
    </xf>
    <xf numFmtId="0" fontId="66" fillId="0" borderId="0" xfId="0" applyFont="1" applyAlignment="1">
      <alignment wrapText="1"/>
    </xf>
    <xf numFmtId="9" fontId="0" fillId="0" borderId="0" xfId="0" applyNumberFormat="1" applyAlignment="1">
      <alignment/>
    </xf>
    <xf numFmtId="2" fontId="70" fillId="0" borderId="0" xfId="0" applyNumberFormat="1" applyFont="1" applyAlignment="1">
      <alignment/>
    </xf>
    <xf numFmtId="0" fontId="17" fillId="0" borderId="23" xfId="0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/>
    </xf>
    <xf numFmtId="3" fontId="15" fillId="0" borderId="23" xfId="53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0" borderId="27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4" fillId="0" borderId="27" xfId="0" applyFont="1" applyFill="1" applyBorder="1" applyAlignment="1">
      <alignment horizontal="left" wrapText="1"/>
    </xf>
    <xf numFmtId="4" fontId="14" fillId="0" borderId="27" xfId="0" applyNumberFormat="1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4" fontId="14" fillId="0" borderId="30" xfId="0" applyNumberFormat="1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4" fontId="24" fillId="0" borderId="30" xfId="0" applyNumberFormat="1" applyFont="1" applyBorder="1" applyAlignment="1">
      <alignment horizontal="center"/>
    </xf>
    <xf numFmtId="4" fontId="14" fillId="33" borderId="27" xfId="0" applyNumberFormat="1" applyFont="1" applyFill="1" applyBorder="1" applyAlignment="1">
      <alignment horizontal="center"/>
    </xf>
    <xf numFmtId="4" fontId="14" fillId="33" borderId="42" xfId="0" applyNumberFormat="1" applyFont="1" applyFill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15" fillId="0" borderId="28" xfId="0" applyNumberFormat="1" applyFont="1" applyBorder="1" applyAlignment="1">
      <alignment horizontal="center" wrapText="1"/>
    </xf>
    <xf numFmtId="4" fontId="15" fillId="0" borderId="44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4" fillId="33" borderId="28" xfId="0" applyNumberFormat="1" applyFont="1" applyFill="1" applyBorder="1" applyAlignment="1">
      <alignment horizontal="center"/>
    </xf>
    <xf numFmtId="4" fontId="14" fillId="33" borderId="30" xfId="0" applyNumberFormat="1" applyFont="1" applyFill="1" applyBorder="1" applyAlignment="1">
      <alignment horizontal="center"/>
    </xf>
    <xf numFmtId="4" fontId="15" fillId="33" borderId="30" xfId="0" applyNumberFormat="1" applyFont="1" applyFill="1" applyBorder="1" applyAlignment="1">
      <alignment horizontal="center"/>
    </xf>
    <xf numFmtId="4" fontId="15" fillId="33" borderId="37" xfId="0" applyNumberFormat="1" applyFont="1" applyFill="1" applyBorder="1" applyAlignment="1">
      <alignment horizontal="center"/>
    </xf>
    <xf numFmtId="4" fontId="15" fillId="0" borderId="28" xfId="0" applyNumberFormat="1" applyFont="1" applyBorder="1" applyAlignment="1">
      <alignment horizontal="center"/>
    </xf>
    <xf numFmtId="4" fontId="15" fillId="0" borderId="37" xfId="0" applyNumberFormat="1" applyFont="1" applyBorder="1" applyAlignment="1">
      <alignment horizontal="center"/>
    </xf>
    <xf numFmtId="4" fontId="18" fillId="0" borderId="27" xfId="0" applyNumberFormat="1" applyFont="1" applyBorder="1" applyAlignment="1">
      <alignment horizontal="center"/>
    </xf>
    <xf numFmtId="4" fontId="15" fillId="0" borderId="45" xfId="0" applyNumberFormat="1" applyFont="1" applyBorder="1" applyAlignment="1">
      <alignment horizontal="center"/>
    </xf>
    <xf numFmtId="4" fontId="15" fillId="0" borderId="34" xfId="0" applyNumberFormat="1" applyFont="1" applyBorder="1" applyAlignment="1">
      <alignment horizontal="center"/>
    </xf>
    <xf numFmtId="4" fontId="15" fillId="0" borderId="27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4" fontId="15" fillId="0" borderId="30" xfId="0" applyNumberFormat="1" applyFont="1" applyFill="1" applyBorder="1" applyAlignment="1">
      <alignment horizontal="center"/>
    </xf>
    <xf numFmtId="4" fontId="14" fillId="0" borderId="27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4" fontId="14" fillId="0" borderId="28" xfId="0" applyNumberFormat="1" applyFont="1" applyBorder="1" applyAlignment="1">
      <alignment horizontal="center" vertical="center" wrapText="1"/>
    </xf>
    <xf numFmtId="4" fontId="14" fillId="0" borderId="30" xfId="0" applyNumberFormat="1" applyFont="1" applyBorder="1" applyAlignment="1">
      <alignment horizontal="center" vertical="center" wrapText="1"/>
    </xf>
    <xf numFmtId="4" fontId="15" fillId="0" borderId="44" xfId="0" applyNumberFormat="1" applyFont="1" applyFill="1" applyBorder="1" applyAlignment="1">
      <alignment horizontal="center"/>
    </xf>
    <xf numFmtId="4" fontId="15" fillId="0" borderId="37" xfId="0" applyNumberFormat="1" applyFont="1" applyFill="1" applyBorder="1" applyAlignment="1">
      <alignment horizontal="center"/>
    </xf>
    <xf numFmtId="4" fontId="14" fillId="33" borderId="23" xfId="0" applyNumberFormat="1" applyFont="1" applyFill="1" applyBorder="1" applyAlignment="1">
      <alignment horizontal="center"/>
    </xf>
    <xf numFmtId="49" fontId="14" fillId="34" borderId="15" xfId="0" applyNumberFormat="1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4" fontId="14" fillId="0" borderId="44" xfId="0" applyNumberFormat="1" applyFont="1" applyFill="1" applyBorder="1" applyAlignment="1">
      <alignment horizontal="center"/>
    </xf>
    <xf numFmtId="4" fontId="14" fillId="0" borderId="37" xfId="0" applyNumberFormat="1" applyFont="1" applyFill="1" applyBorder="1" applyAlignment="1">
      <alignment horizontal="center"/>
    </xf>
    <xf numFmtId="4" fontId="24" fillId="34" borderId="27" xfId="0" applyNumberFormat="1" applyFont="1" applyFill="1" applyBorder="1" applyAlignment="1">
      <alignment horizontal="center"/>
    </xf>
    <xf numFmtId="4" fontId="24" fillId="34" borderId="28" xfId="0" applyNumberFormat="1" applyFont="1" applyFill="1" applyBorder="1" applyAlignment="1">
      <alignment horizontal="center"/>
    </xf>
    <xf numFmtId="4" fontId="24" fillId="34" borderId="30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 wrapText="1"/>
    </xf>
    <xf numFmtId="0" fontId="14" fillId="34" borderId="30" xfId="0" applyFont="1" applyFill="1" applyBorder="1" applyAlignment="1">
      <alignment horizontal="center" wrapText="1"/>
    </xf>
    <xf numFmtId="0" fontId="14" fillId="0" borderId="23" xfId="0" applyFont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4" fontId="72" fillId="0" borderId="23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wrapText="1"/>
    </xf>
    <xf numFmtId="0" fontId="10" fillId="33" borderId="22" xfId="0" applyFont="1" applyFill="1" applyBorder="1" applyAlignment="1">
      <alignment horizontal="center" wrapText="1"/>
    </xf>
    <xf numFmtId="0" fontId="6" fillId="33" borderId="37" xfId="0" applyFont="1" applyFill="1" applyBorder="1" applyAlignment="1">
      <alignment horizontal="left" wrapText="1"/>
    </xf>
    <xf numFmtId="0" fontId="6" fillId="33" borderId="46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justify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 horizontal="center"/>
    </xf>
    <xf numFmtId="4" fontId="14" fillId="0" borderId="15" xfId="0" applyNumberFormat="1" applyFont="1" applyBorder="1" applyAlignment="1">
      <alignment horizontal="center" vertical="center"/>
    </xf>
    <xf numFmtId="4" fontId="15" fillId="35" borderId="15" xfId="0" applyNumberFormat="1" applyFont="1" applyFill="1" applyBorder="1" applyAlignment="1">
      <alignment horizontal="center" vertical="center"/>
    </xf>
    <xf numFmtId="4" fontId="14" fillId="35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4" fillId="34" borderId="15" xfId="0" applyNumberFormat="1" applyFont="1" applyFill="1" applyBorder="1" applyAlignment="1">
      <alignment horizontal="center" vertical="center"/>
    </xf>
    <xf numFmtId="4" fontId="14" fillId="33" borderId="15" xfId="0" applyNumberFormat="1" applyFont="1" applyFill="1" applyBorder="1" applyAlignment="1">
      <alignment horizontal="center" vertical="center"/>
    </xf>
    <xf numFmtId="4" fontId="15" fillId="33" borderId="15" xfId="0" applyNumberFormat="1" applyFont="1" applyFill="1" applyBorder="1" applyAlignment="1">
      <alignment horizontal="center" vertical="center"/>
    </xf>
    <xf numFmtId="4" fontId="15" fillId="34" borderId="15" xfId="0" applyNumberFormat="1" applyFont="1" applyFill="1" applyBorder="1" applyAlignment="1">
      <alignment horizontal="center" vertical="center"/>
    </xf>
    <xf numFmtId="4" fontId="21" fillId="35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4" fontId="66" fillId="35" borderId="15" xfId="0" applyNumberFormat="1" applyFont="1" applyFill="1" applyBorder="1" applyAlignment="1">
      <alignment horizontal="center" vertical="center"/>
    </xf>
    <xf numFmtId="4" fontId="66" fillId="0" borderId="15" xfId="0" applyNumberFormat="1" applyFont="1" applyBorder="1" applyAlignment="1">
      <alignment horizontal="center" vertical="center"/>
    </xf>
    <xf numFmtId="0" fontId="66" fillId="34" borderId="15" xfId="0" applyFont="1" applyFill="1" applyBorder="1" applyAlignment="1">
      <alignment vertical="top" wrapText="1"/>
    </xf>
    <xf numFmtId="49" fontId="66" fillId="0" borderId="15" xfId="0" applyNumberFormat="1" applyFont="1" applyBorder="1" applyAlignment="1">
      <alignment horizontal="center" vertical="center"/>
    </xf>
    <xf numFmtId="49" fontId="71" fillId="33" borderId="15" xfId="0" applyNumberFormat="1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49" fontId="66" fillId="0" borderId="15" xfId="0" applyNumberFormat="1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/>
    </xf>
    <xf numFmtId="49" fontId="71" fillId="0" borderId="15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14" fillId="0" borderId="4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14" fillId="0" borderId="39" xfId="0" applyNumberFormat="1" applyFont="1" applyBorder="1" applyAlignment="1">
      <alignment horizontal="center" vertical="center"/>
    </xf>
    <xf numFmtId="4" fontId="15" fillId="0" borderId="40" xfId="0" applyNumberFormat="1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center" vertical="center"/>
    </xf>
    <xf numFmtId="4" fontId="15" fillId="0" borderId="41" xfId="0" applyNumberFormat="1" applyFont="1" applyBorder="1" applyAlignment="1">
      <alignment horizontal="center" vertical="center"/>
    </xf>
    <xf numFmtId="4" fontId="14" fillId="0" borderId="47" xfId="0" applyNumberFormat="1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/>
    </xf>
    <xf numFmtId="4" fontId="15" fillId="0" borderId="48" xfId="0" applyNumberFormat="1" applyFont="1" applyBorder="1" applyAlignment="1">
      <alignment horizontal="center" vertical="center"/>
    </xf>
    <xf numFmtId="4" fontId="15" fillId="0" borderId="49" xfId="0" applyNumberFormat="1" applyFont="1" applyBorder="1" applyAlignment="1">
      <alignment horizontal="center" vertical="center"/>
    </xf>
    <xf numFmtId="4" fontId="14" fillId="0" borderId="51" xfId="0" applyNumberFormat="1" applyFont="1" applyBorder="1" applyAlignment="1">
      <alignment horizontal="center" vertical="center"/>
    </xf>
    <xf numFmtId="4" fontId="10" fillId="33" borderId="23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4" fontId="6" fillId="33" borderId="37" xfId="0" applyNumberFormat="1" applyFont="1" applyFill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 vertical="center" wrapText="1"/>
    </xf>
    <xf numFmtId="0" fontId="15" fillId="36" borderId="15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left" vertical="center" wrapText="1"/>
    </xf>
    <xf numFmtId="0" fontId="14" fillId="36" borderId="15" xfId="0" applyFont="1" applyFill="1" applyBorder="1" applyAlignment="1">
      <alignment horizontal="center" vertical="center"/>
    </xf>
    <xf numFmtId="49" fontId="15" fillId="36" borderId="15" xfId="0" applyNumberFormat="1" applyFont="1" applyFill="1" applyBorder="1" applyAlignment="1">
      <alignment horizontal="center" vertical="center"/>
    </xf>
    <xf numFmtId="4" fontId="15" fillId="36" borderId="15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66" fillId="34" borderId="15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0" fontId="14" fillId="34" borderId="15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vertical="top" wrapText="1"/>
    </xf>
    <xf numFmtId="49" fontId="6" fillId="34" borderId="15" xfId="0" applyNumberFormat="1" applyFont="1" applyFill="1" applyBorder="1" applyAlignment="1">
      <alignment horizontal="center"/>
    </xf>
    <xf numFmtId="49" fontId="17" fillId="34" borderId="23" xfId="0" applyNumberFormat="1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/>
    </xf>
    <xf numFmtId="4" fontId="66" fillId="0" borderId="15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4" fontId="18" fillId="35" borderId="15" xfId="0" applyNumberFormat="1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10" fillId="0" borderId="3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20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17" fillId="0" borderId="34" xfId="0" applyNumberFormat="1" applyFont="1" applyBorder="1" applyAlignment="1">
      <alignment horizontal="center" vertical="center" wrapText="1"/>
    </xf>
    <xf numFmtId="49" fontId="17" fillId="0" borderId="37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justify" vertical="center" wrapText="1"/>
    </xf>
    <xf numFmtId="0" fontId="17" fillId="0" borderId="37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0" xfId="0" applyFont="1" applyAlignment="1">
      <alignment/>
    </xf>
    <xf numFmtId="0" fontId="16" fillId="0" borderId="2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15" fillId="33" borderId="28" xfId="0" applyFont="1" applyFill="1" applyBorder="1" applyAlignment="1">
      <alignment horizontal="center"/>
    </xf>
    <xf numFmtId="0" fontId="15" fillId="33" borderId="29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0" fontId="14" fillId="34" borderId="29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4" fillId="0" borderId="24" xfId="0" applyFont="1" applyBorder="1" applyAlignment="1">
      <alignment/>
    </xf>
    <xf numFmtId="0" fontId="14" fillId="0" borderId="45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58" xfId="0" applyFont="1" applyBorder="1" applyAlignment="1">
      <alignment/>
    </xf>
    <xf numFmtId="0" fontId="14" fillId="0" borderId="4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35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ser\Downloads\&#1087;&#1083;&#1072;&#1085;%20&#1087;&#1086;%20&#1076;&#1086;&#1093;&#1086;&#1076;&#1072;&#1084;%20&#1085;&#1072;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г. отчет"/>
      <sheetName val="2019 план"/>
      <sheetName val="Лист1"/>
    </sheetNames>
    <sheetDataSet>
      <sheetData sheetId="1">
        <row r="57">
          <cell r="C57">
            <v>112000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4"/>
  <sheetViews>
    <sheetView zoomScalePageLayoutView="0" workbookViewId="0" topLeftCell="A261">
      <pane xSplit="20055" topLeftCell="O1" activePane="topLeft" state="split"/>
      <selection pane="topLeft" activeCell="N252" sqref="N252"/>
      <selection pane="topRight" activeCell="O63" sqref="O63"/>
    </sheetView>
  </sheetViews>
  <sheetFormatPr defaultColWidth="9.00390625" defaultRowHeight="12.75"/>
  <cols>
    <col min="1" max="1" width="40.00390625" style="0" customWidth="1"/>
    <col min="2" max="2" width="6.625" style="0" customWidth="1"/>
    <col min="3" max="4" width="6.875" style="0" customWidth="1"/>
    <col min="5" max="5" width="12.00390625" style="0" hidden="1" customWidth="1"/>
    <col min="6" max="6" width="20.25390625" style="0" customWidth="1"/>
    <col min="7" max="7" width="10.125" style="0" customWidth="1"/>
    <col min="8" max="8" width="10.125" style="0" hidden="1" customWidth="1"/>
    <col min="9" max="9" width="17.125" style="0" customWidth="1"/>
    <col min="10" max="10" width="16.25390625" style="0" customWidth="1"/>
    <col min="11" max="11" width="15.75390625" style="0" customWidth="1"/>
    <col min="13" max="13" width="11.625" style="0" bestFit="1" customWidth="1"/>
    <col min="14" max="14" width="12.375" style="0" customWidth="1"/>
    <col min="15" max="15" width="14.375" style="0" customWidth="1"/>
    <col min="16" max="16" width="10.625" style="0" bestFit="1" customWidth="1"/>
  </cols>
  <sheetData>
    <row r="2" spans="5:11" ht="12.75">
      <c r="E2" s="324" t="s">
        <v>221</v>
      </c>
      <c r="F2" s="324"/>
      <c r="G2" s="324"/>
      <c r="H2" s="324"/>
      <c r="I2" s="324"/>
      <c r="J2" s="325"/>
      <c r="K2" s="325"/>
    </row>
    <row r="3" spans="1:11" ht="50.25" customHeight="1">
      <c r="A3" s="42"/>
      <c r="B3" s="42"/>
      <c r="C3" s="42"/>
      <c r="D3" s="338" t="str">
        <f>прилож1!C4</f>
        <v>к проекту решения Думы МО "Гаханское" от "11" марта 2021 г. №82  "О внесении изменений в Решение Думы муниципального образования "Гаханское" от 24.12.2020 г. №76 "О бюджете муниципального образования «Гаханское» на 2021 год и плановый период 2022 - 2023 гг."</v>
      </c>
      <c r="E3" s="339"/>
      <c r="F3" s="339"/>
      <c r="G3" s="339"/>
      <c r="H3" s="339"/>
      <c r="I3" s="339"/>
      <c r="J3" s="339"/>
      <c r="K3" s="339"/>
    </row>
    <row r="4" spans="1:11" ht="14.25">
      <c r="A4" s="337" t="s">
        <v>378</v>
      </c>
      <c r="B4" s="337"/>
      <c r="C4" s="337"/>
      <c r="D4" s="337"/>
      <c r="E4" s="337"/>
      <c r="F4" s="337"/>
      <c r="G4" s="337"/>
      <c r="H4" s="337"/>
      <c r="I4" s="337"/>
      <c r="J4" s="325"/>
      <c r="K4" s="325"/>
    </row>
    <row r="5" spans="1:11" ht="15">
      <c r="A5" s="41"/>
      <c r="B5" s="41"/>
      <c r="C5" s="41"/>
      <c r="D5" s="41"/>
      <c r="E5" s="41"/>
      <c r="F5" s="41"/>
      <c r="G5" s="41"/>
      <c r="H5" s="41"/>
      <c r="K5" s="60" t="s">
        <v>112</v>
      </c>
    </row>
    <row r="6" spans="1:11" ht="15.75" customHeight="1">
      <c r="A6" s="327" t="s">
        <v>31</v>
      </c>
      <c r="B6" s="329" t="s">
        <v>30</v>
      </c>
      <c r="C6" s="330"/>
      <c r="D6" s="330"/>
      <c r="E6" s="330"/>
      <c r="F6" s="331"/>
      <c r="G6" s="332"/>
      <c r="H6" s="333" t="s">
        <v>65</v>
      </c>
      <c r="I6" s="335" t="s">
        <v>333</v>
      </c>
      <c r="J6" s="326" t="s">
        <v>287</v>
      </c>
      <c r="K6" s="326"/>
    </row>
    <row r="7" spans="1:14" ht="45" customHeight="1">
      <c r="A7" s="328"/>
      <c r="B7" s="63" t="s">
        <v>32</v>
      </c>
      <c r="C7" s="64" t="s">
        <v>33</v>
      </c>
      <c r="D7" s="64" t="s">
        <v>34</v>
      </c>
      <c r="E7" s="62" t="s">
        <v>35</v>
      </c>
      <c r="F7" s="66" t="s">
        <v>238</v>
      </c>
      <c r="G7" s="65" t="s">
        <v>36</v>
      </c>
      <c r="H7" s="334"/>
      <c r="I7" s="336"/>
      <c r="J7" s="226" t="s">
        <v>344</v>
      </c>
      <c r="K7" s="226" t="s">
        <v>367</v>
      </c>
      <c r="N7" s="61"/>
    </row>
    <row r="8" spans="1:15" ht="27">
      <c r="A8" s="133" t="s">
        <v>320</v>
      </c>
      <c r="B8" s="136">
        <v>250</v>
      </c>
      <c r="C8" s="134"/>
      <c r="D8" s="134"/>
      <c r="E8" s="134"/>
      <c r="F8" s="134"/>
      <c r="G8" s="135"/>
      <c r="H8" s="134"/>
      <c r="I8" s="252">
        <f>I9+I68+I85+I108+I145+I238+I232</f>
        <v>14712337.984999679</v>
      </c>
      <c r="J8" s="252">
        <f>J9+J68+J84+J108+J145+J238+J232</f>
        <v>10654340.004999679</v>
      </c>
      <c r="K8" s="252">
        <f>K9+K68+K85+K108+K145+K232+K238</f>
        <v>10494445.004999679</v>
      </c>
      <c r="L8" s="40"/>
      <c r="M8" s="61"/>
      <c r="N8" s="61"/>
      <c r="O8" s="40"/>
    </row>
    <row r="9" spans="1:15" ht="13.5">
      <c r="A9" s="133" t="s">
        <v>0</v>
      </c>
      <c r="B9" s="136">
        <v>250</v>
      </c>
      <c r="C9" s="136" t="s">
        <v>1</v>
      </c>
      <c r="D9" s="136" t="s">
        <v>2</v>
      </c>
      <c r="E9" s="136" t="s">
        <v>3</v>
      </c>
      <c r="F9" s="136" t="s">
        <v>281</v>
      </c>
      <c r="G9" s="137" t="s">
        <v>4</v>
      </c>
      <c r="H9" s="136" t="s">
        <v>4</v>
      </c>
      <c r="I9" s="252">
        <f>I62+I10+I18+I57+I49</f>
        <v>6619660.0049996795</v>
      </c>
      <c r="J9" s="252">
        <f>J62+J10+J18+J57+J49</f>
        <v>7018060.0049996795</v>
      </c>
      <c r="K9" s="252">
        <f>K62+K10+K18+K57+K49</f>
        <v>7018060.0049996795</v>
      </c>
      <c r="M9" s="40"/>
      <c r="N9" s="61"/>
      <c r="O9" s="61"/>
    </row>
    <row r="10" spans="1:14" ht="54">
      <c r="A10" s="133" t="s">
        <v>248</v>
      </c>
      <c r="B10" s="136">
        <v>250</v>
      </c>
      <c r="C10" s="136" t="s">
        <v>1</v>
      </c>
      <c r="D10" s="136" t="s">
        <v>39</v>
      </c>
      <c r="E10" s="136" t="s">
        <v>3</v>
      </c>
      <c r="F10" s="136" t="s">
        <v>264</v>
      </c>
      <c r="G10" s="138" t="s">
        <v>4</v>
      </c>
      <c r="H10" s="138" t="s">
        <v>4</v>
      </c>
      <c r="I10" s="252">
        <f>I11</f>
        <v>1089922.0009996798</v>
      </c>
      <c r="J10" s="252">
        <f>J11</f>
        <v>1089922.0009996798</v>
      </c>
      <c r="K10" s="252">
        <f>K11</f>
        <v>1089922.0009996798</v>
      </c>
      <c r="M10" s="40"/>
      <c r="N10" s="61"/>
    </row>
    <row r="11" spans="1:11" ht="13.5">
      <c r="A11" s="139" t="s">
        <v>84</v>
      </c>
      <c r="B11" s="136">
        <v>250</v>
      </c>
      <c r="C11" s="134" t="s">
        <v>1</v>
      </c>
      <c r="D11" s="134" t="s">
        <v>39</v>
      </c>
      <c r="E11" s="134" t="s">
        <v>85</v>
      </c>
      <c r="F11" s="134" t="s">
        <v>486</v>
      </c>
      <c r="G11" s="134" t="s">
        <v>4</v>
      </c>
      <c r="H11" s="134" t="s">
        <v>4</v>
      </c>
      <c r="I11" s="253">
        <f>SUM(I13)</f>
        <v>1089922.0009996798</v>
      </c>
      <c r="J11" s="253">
        <f>SUM(J13)</f>
        <v>1089922.0009996798</v>
      </c>
      <c r="K11" s="253">
        <f>SUM(K13)</f>
        <v>1089922.0009996798</v>
      </c>
    </row>
    <row r="12" spans="1:11" ht="27">
      <c r="A12" s="139" t="s">
        <v>224</v>
      </c>
      <c r="B12" s="136">
        <v>250</v>
      </c>
      <c r="C12" s="134" t="s">
        <v>1</v>
      </c>
      <c r="D12" s="134" t="s">
        <v>39</v>
      </c>
      <c r="E12" s="134" t="s">
        <v>85</v>
      </c>
      <c r="F12" s="134" t="s">
        <v>453</v>
      </c>
      <c r="G12" s="140" t="s">
        <v>4</v>
      </c>
      <c r="H12" s="134" t="s">
        <v>4</v>
      </c>
      <c r="I12" s="253">
        <f>I13</f>
        <v>1089922.0009996798</v>
      </c>
      <c r="J12" s="253">
        <f>J13</f>
        <v>1089922.0009996798</v>
      </c>
      <c r="K12" s="253">
        <f>K13</f>
        <v>1089922.0009996798</v>
      </c>
    </row>
    <row r="13" spans="1:11" ht="108">
      <c r="A13" s="139" t="s">
        <v>254</v>
      </c>
      <c r="B13" s="136">
        <v>250</v>
      </c>
      <c r="C13" s="134" t="s">
        <v>1</v>
      </c>
      <c r="D13" s="134" t="s">
        <v>39</v>
      </c>
      <c r="E13" s="134" t="s">
        <v>85</v>
      </c>
      <c r="F13" s="134" t="s">
        <v>453</v>
      </c>
      <c r="G13" s="140" t="s">
        <v>4</v>
      </c>
      <c r="H13" s="134" t="s">
        <v>4</v>
      </c>
      <c r="I13" s="253">
        <f>I15</f>
        <v>1089922.0009996798</v>
      </c>
      <c r="J13" s="253">
        <f>J15</f>
        <v>1089922.0009996798</v>
      </c>
      <c r="K13" s="253">
        <f>K15</f>
        <v>1089922.0009996798</v>
      </c>
    </row>
    <row r="14" spans="1:11" ht="40.5">
      <c r="A14" s="139" t="s">
        <v>255</v>
      </c>
      <c r="B14" s="136">
        <v>250</v>
      </c>
      <c r="C14" s="134" t="s">
        <v>1</v>
      </c>
      <c r="D14" s="134" t="s">
        <v>39</v>
      </c>
      <c r="E14" s="134" t="s">
        <v>85</v>
      </c>
      <c r="F14" s="134" t="s">
        <v>453</v>
      </c>
      <c r="G14" s="142" t="s">
        <v>259</v>
      </c>
      <c r="H14" s="134"/>
      <c r="I14" s="253">
        <f>I15</f>
        <v>1089922.0009996798</v>
      </c>
      <c r="J14" s="253">
        <f>J15</f>
        <v>1089922.0009996798</v>
      </c>
      <c r="K14" s="253">
        <f>K15</f>
        <v>1089922.0009996798</v>
      </c>
    </row>
    <row r="15" spans="1:16" ht="27.75" customHeight="1">
      <c r="A15" s="139" t="s">
        <v>166</v>
      </c>
      <c r="B15" s="136">
        <v>250</v>
      </c>
      <c r="C15" s="134" t="s">
        <v>1</v>
      </c>
      <c r="D15" s="134" t="s">
        <v>39</v>
      </c>
      <c r="E15" s="134" t="s">
        <v>85</v>
      </c>
      <c r="F15" s="134" t="s">
        <v>453</v>
      </c>
      <c r="G15" s="134">
        <v>120</v>
      </c>
      <c r="H15" s="134">
        <v>210</v>
      </c>
      <c r="I15" s="253">
        <f>I16+I17</f>
        <v>1089922.0009996798</v>
      </c>
      <c r="J15" s="253">
        <f>J16+J17</f>
        <v>1089922.0009996798</v>
      </c>
      <c r="K15" s="253">
        <f>K16+K17</f>
        <v>1089922.0009996798</v>
      </c>
      <c r="M15" s="61"/>
      <c r="N15" s="61"/>
      <c r="O15" s="40"/>
      <c r="P15" s="61"/>
    </row>
    <row r="16" spans="1:13" ht="13.5" hidden="1">
      <c r="A16" s="141" t="s">
        <v>10</v>
      </c>
      <c r="B16" s="263">
        <v>250</v>
      </c>
      <c r="C16" s="264" t="s">
        <v>1</v>
      </c>
      <c r="D16" s="264" t="s">
        <v>39</v>
      </c>
      <c r="E16" s="264" t="s">
        <v>85</v>
      </c>
      <c r="F16" s="264"/>
      <c r="G16" s="264">
        <v>121</v>
      </c>
      <c r="H16" s="264">
        <v>211</v>
      </c>
      <c r="I16" s="265">
        <f>4629*15.03*1*0.94*1.6*8+0.2</f>
        <v>837113.0038399999</v>
      </c>
      <c r="J16" s="265">
        <f>I16</f>
        <v>837113.0038399999</v>
      </c>
      <c r="K16" s="265">
        <f>J16</f>
        <v>837113.0038399999</v>
      </c>
      <c r="M16" s="61"/>
    </row>
    <row r="17" spans="1:14" ht="13.5" hidden="1">
      <c r="A17" s="141" t="s">
        <v>12</v>
      </c>
      <c r="B17" s="263">
        <v>250</v>
      </c>
      <c r="C17" s="264" t="s">
        <v>1</v>
      </c>
      <c r="D17" s="264" t="s">
        <v>39</v>
      </c>
      <c r="E17" s="264" t="s">
        <v>85</v>
      </c>
      <c r="F17" s="264"/>
      <c r="G17" s="264">
        <v>129</v>
      </c>
      <c r="H17" s="264">
        <v>213</v>
      </c>
      <c r="I17" s="265">
        <f>I16*30.2%+0.87</f>
        <v>252808.99715967994</v>
      </c>
      <c r="J17" s="265">
        <f>I17</f>
        <v>252808.99715967994</v>
      </c>
      <c r="K17" s="265">
        <f>J17</f>
        <v>252808.99715967994</v>
      </c>
      <c r="M17" s="61"/>
      <c r="N17" s="61"/>
    </row>
    <row r="18" spans="1:13" ht="72.75" customHeight="1">
      <c r="A18" s="133" t="s">
        <v>247</v>
      </c>
      <c r="B18" s="136">
        <v>250</v>
      </c>
      <c r="C18" s="136" t="s">
        <v>1</v>
      </c>
      <c r="D18" s="136" t="s">
        <v>6</v>
      </c>
      <c r="E18" s="136" t="s">
        <v>3</v>
      </c>
      <c r="F18" s="136" t="s">
        <v>485</v>
      </c>
      <c r="G18" s="138" t="s">
        <v>4</v>
      </c>
      <c r="H18" s="138" t="s">
        <v>4</v>
      </c>
      <c r="I18" s="254">
        <f>I21+I26+I42</f>
        <v>5519038.004</v>
      </c>
      <c r="J18" s="254">
        <f>J21+J26+J42</f>
        <v>5917438.004</v>
      </c>
      <c r="K18" s="254">
        <f>K21+K26+K42</f>
        <v>5917438.004</v>
      </c>
      <c r="M18" s="61"/>
    </row>
    <row r="19" spans="1:11" ht="27" hidden="1">
      <c r="A19" s="139" t="s">
        <v>224</v>
      </c>
      <c r="B19" s="136">
        <v>250</v>
      </c>
      <c r="C19" s="134" t="s">
        <v>1</v>
      </c>
      <c r="D19" s="134" t="s">
        <v>6</v>
      </c>
      <c r="E19" s="134" t="s">
        <v>3</v>
      </c>
      <c r="F19" s="158" t="s">
        <v>454</v>
      </c>
      <c r="G19" s="134"/>
      <c r="H19" s="134" t="s">
        <v>4</v>
      </c>
      <c r="I19" s="253">
        <f>I22</f>
        <v>4877438.004</v>
      </c>
      <c r="J19" s="253">
        <f>J22</f>
        <v>4877438.004</v>
      </c>
      <c r="K19" s="253">
        <f>K22</f>
        <v>4877438.004</v>
      </c>
    </row>
    <row r="20" spans="1:14" ht="108">
      <c r="A20" s="139" t="s">
        <v>254</v>
      </c>
      <c r="B20" s="136">
        <v>250</v>
      </c>
      <c r="C20" s="134" t="s">
        <v>1</v>
      </c>
      <c r="D20" s="134" t="s">
        <v>6</v>
      </c>
      <c r="E20" s="134" t="s">
        <v>3</v>
      </c>
      <c r="F20" s="134" t="s">
        <v>454</v>
      </c>
      <c r="G20" s="134" t="s">
        <v>4</v>
      </c>
      <c r="H20" s="134"/>
      <c r="I20" s="253">
        <f aca="true" t="shared" si="0" ref="I20:K21">I21</f>
        <v>4877438.004</v>
      </c>
      <c r="J20" s="253">
        <f t="shared" si="0"/>
        <v>4877438.004</v>
      </c>
      <c r="K20" s="253">
        <f t="shared" si="0"/>
        <v>4877438.004</v>
      </c>
      <c r="N20" s="129"/>
    </row>
    <row r="21" spans="1:11" ht="54.75" customHeight="1">
      <c r="A21" s="139" t="s">
        <v>255</v>
      </c>
      <c r="B21" s="136">
        <v>250</v>
      </c>
      <c r="C21" s="134" t="s">
        <v>1</v>
      </c>
      <c r="D21" s="134" t="s">
        <v>6</v>
      </c>
      <c r="E21" s="134" t="s">
        <v>109</v>
      </c>
      <c r="F21" s="134" t="s">
        <v>454</v>
      </c>
      <c r="G21" s="136">
        <v>100</v>
      </c>
      <c r="H21" s="134" t="s">
        <v>4</v>
      </c>
      <c r="I21" s="253">
        <f t="shared" si="0"/>
        <v>4877438.004</v>
      </c>
      <c r="J21" s="253">
        <f t="shared" si="0"/>
        <v>4877438.004</v>
      </c>
      <c r="K21" s="253">
        <f t="shared" si="0"/>
        <v>4877438.004</v>
      </c>
    </row>
    <row r="22" spans="1:13" ht="33" customHeight="1">
      <c r="A22" s="139" t="s">
        <v>166</v>
      </c>
      <c r="B22" s="136">
        <v>250</v>
      </c>
      <c r="C22" s="134" t="s">
        <v>1</v>
      </c>
      <c r="D22" s="134" t="s">
        <v>6</v>
      </c>
      <c r="E22" s="134" t="s">
        <v>109</v>
      </c>
      <c r="F22" s="134" t="s">
        <v>454</v>
      </c>
      <c r="G22" s="134">
        <v>120</v>
      </c>
      <c r="H22" s="134">
        <v>210</v>
      </c>
      <c r="I22" s="253">
        <f>I23+I24</f>
        <v>4877438.004</v>
      </c>
      <c r="J22" s="253">
        <f>J23+J24</f>
        <v>4877438.004</v>
      </c>
      <c r="K22" s="253">
        <f>K23+K24</f>
        <v>4877438.004</v>
      </c>
      <c r="M22" s="61"/>
    </row>
    <row r="23" spans="1:11" ht="13.5" customHeight="1" hidden="1">
      <c r="A23" s="141" t="s">
        <v>10</v>
      </c>
      <c r="B23" s="263">
        <v>250</v>
      </c>
      <c r="C23" s="264" t="s">
        <v>1</v>
      </c>
      <c r="D23" s="264" t="s">
        <v>6</v>
      </c>
      <c r="E23" s="264" t="s">
        <v>109</v>
      </c>
      <c r="F23" s="264" t="s">
        <v>265</v>
      </c>
      <c r="G23" s="264">
        <v>121</v>
      </c>
      <c r="H23" s="264">
        <v>211</v>
      </c>
      <c r="I23" s="265">
        <f>468264*8</f>
        <v>3746112</v>
      </c>
      <c r="J23" s="266">
        <f>I23</f>
        <v>3746112</v>
      </c>
      <c r="K23" s="266">
        <f>J23</f>
        <v>3746112</v>
      </c>
    </row>
    <row r="24" spans="1:14" ht="22.5" customHeight="1" hidden="1">
      <c r="A24" s="141" t="s">
        <v>12</v>
      </c>
      <c r="B24" s="263">
        <v>250</v>
      </c>
      <c r="C24" s="264" t="s">
        <v>1</v>
      </c>
      <c r="D24" s="264" t="s">
        <v>6</v>
      </c>
      <c r="E24" s="264" t="s">
        <v>109</v>
      </c>
      <c r="F24" s="264" t="s">
        <v>265</v>
      </c>
      <c r="G24" s="264">
        <v>129</v>
      </c>
      <c r="H24" s="264">
        <v>213</v>
      </c>
      <c r="I24" s="265">
        <f>I23*30.2%+0.18</f>
        <v>1131326.004</v>
      </c>
      <c r="J24" s="266">
        <f>I24</f>
        <v>1131326.004</v>
      </c>
      <c r="K24" s="266">
        <f>J24</f>
        <v>1131326.004</v>
      </c>
      <c r="M24" s="61"/>
      <c r="N24" s="129"/>
    </row>
    <row r="25" spans="1:11" ht="38.25" customHeight="1">
      <c r="A25" s="139" t="s">
        <v>225</v>
      </c>
      <c r="B25" s="136">
        <v>250</v>
      </c>
      <c r="C25" s="134" t="s">
        <v>1</v>
      </c>
      <c r="D25" s="134" t="s">
        <v>6</v>
      </c>
      <c r="E25" s="134" t="s">
        <v>109</v>
      </c>
      <c r="F25" s="134" t="s">
        <v>454</v>
      </c>
      <c r="G25" s="134" t="s">
        <v>4</v>
      </c>
      <c r="H25" s="142" t="s">
        <v>125</v>
      </c>
      <c r="I25" s="259">
        <f>I28+I32+I42</f>
        <v>441600</v>
      </c>
      <c r="J25" s="259">
        <f>J28+J32+J42</f>
        <v>840000</v>
      </c>
      <c r="K25" s="259">
        <f>K28+K32+K42</f>
        <v>840000</v>
      </c>
    </row>
    <row r="26" spans="1:11" ht="26.25" customHeight="1">
      <c r="A26" s="139" t="s">
        <v>153</v>
      </c>
      <c r="B26" s="136">
        <v>250</v>
      </c>
      <c r="C26" s="134" t="s">
        <v>1</v>
      </c>
      <c r="D26" s="134" t="s">
        <v>6</v>
      </c>
      <c r="E26" s="134" t="s">
        <v>109</v>
      </c>
      <c r="F26" s="134" t="s">
        <v>454</v>
      </c>
      <c r="G26" s="136">
        <v>200</v>
      </c>
      <c r="H26" s="143" t="s">
        <v>125</v>
      </c>
      <c r="I26" s="253">
        <f>I27</f>
        <v>601600</v>
      </c>
      <c r="J26" s="253">
        <f>J27</f>
        <v>1020000</v>
      </c>
      <c r="K26" s="253">
        <f>K27</f>
        <v>1020000</v>
      </c>
    </row>
    <row r="27" spans="1:11" ht="26.25" customHeight="1">
      <c r="A27" s="139" t="s">
        <v>256</v>
      </c>
      <c r="B27" s="136">
        <v>250</v>
      </c>
      <c r="C27" s="134" t="s">
        <v>1</v>
      </c>
      <c r="D27" s="134" t="s">
        <v>6</v>
      </c>
      <c r="E27" s="134" t="s">
        <v>109</v>
      </c>
      <c r="F27" s="134" t="s">
        <v>454</v>
      </c>
      <c r="G27" s="134">
        <v>240</v>
      </c>
      <c r="H27" s="143"/>
      <c r="I27" s="253">
        <f>I28+I32+I41</f>
        <v>601600</v>
      </c>
      <c r="J27" s="253">
        <f>J28+J32+J41</f>
        <v>1020000</v>
      </c>
      <c r="K27" s="253">
        <f>K28+K32+K41</f>
        <v>1020000</v>
      </c>
    </row>
    <row r="28" spans="1:11" ht="42" customHeight="1">
      <c r="A28" s="139" t="s">
        <v>154</v>
      </c>
      <c r="B28" s="136">
        <v>250</v>
      </c>
      <c r="C28" s="134" t="s">
        <v>1</v>
      </c>
      <c r="D28" s="134" t="s">
        <v>6</v>
      </c>
      <c r="E28" s="134" t="s">
        <v>109</v>
      </c>
      <c r="F28" s="134" t="s">
        <v>454</v>
      </c>
      <c r="G28" s="134">
        <v>242</v>
      </c>
      <c r="H28" s="143" t="s">
        <v>125</v>
      </c>
      <c r="I28" s="253">
        <f>SUM(I29:I31)</f>
        <v>100000</v>
      </c>
      <c r="J28" s="253">
        <f>SUM(J29:J31)</f>
        <v>160000</v>
      </c>
      <c r="K28" s="253">
        <f>SUM(K29:K31)</f>
        <v>160000</v>
      </c>
    </row>
    <row r="29" spans="1:11" ht="12.75" customHeight="1" hidden="1">
      <c r="A29" s="141" t="s">
        <v>14</v>
      </c>
      <c r="B29" s="136">
        <v>250</v>
      </c>
      <c r="C29" s="134" t="s">
        <v>1</v>
      </c>
      <c r="D29" s="134" t="s">
        <v>6</v>
      </c>
      <c r="E29" s="134" t="s">
        <v>109</v>
      </c>
      <c r="F29" s="134" t="s">
        <v>266</v>
      </c>
      <c r="G29" s="134">
        <v>221</v>
      </c>
      <c r="H29" s="140" t="s">
        <v>155</v>
      </c>
      <c r="I29" s="253">
        <f>25000-25000</f>
        <v>0</v>
      </c>
      <c r="J29" s="255">
        <v>25000</v>
      </c>
      <c r="K29" s="255">
        <v>25000</v>
      </c>
    </row>
    <row r="30" spans="1:11" ht="12.75" customHeight="1" hidden="1">
      <c r="A30" s="141" t="s">
        <v>156</v>
      </c>
      <c r="B30" s="136">
        <v>250</v>
      </c>
      <c r="C30" s="134" t="s">
        <v>1</v>
      </c>
      <c r="D30" s="134" t="s">
        <v>6</v>
      </c>
      <c r="E30" s="134" t="s">
        <v>109</v>
      </c>
      <c r="F30" s="134" t="s">
        <v>266</v>
      </c>
      <c r="G30" s="134">
        <v>226</v>
      </c>
      <c r="H30" s="140" t="s">
        <v>157</v>
      </c>
      <c r="I30" s="253">
        <v>85000</v>
      </c>
      <c r="J30" s="255">
        <v>85000</v>
      </c>
      <c r="K30" s="255">
        <v>85000</v>
      </c>
    </row>
    <row r="31" spans="1:11" ht="12.75" customHeight="1" hidden="1">
      <c r="A31" s="141" t="s">
        <v>345</v>
      </c>
      <c r="B31" s="136">
        <v>250</v>
      </c>
      <c r="C31" s="134" t="s">
        <v>1</v>
      </c>
      <c r="D31" s="134" t="s">
        <v>6</v>
      </c>
      <c r="E31" s="134" t="s">
        <v>109</v>
      </c>
      <c r="F31" s="134" t="s">
        <v>266</v>
      </c>
      <c r="G31" s="134">
        <v>310</v>
      </c>
      <c r="H31" s="140" t="s">
        <v>157</v>
      </c>
      <c r="I31" s="253">
        <f>50000-35000</f>
        <v>15000</v>
      </c>
      <c r="J31" s="255">
        <v>50000</v>
      </c>
      <c r="K31" s="255">
        <v>50000</v>
      </c>
    </row>
    <row r="32" spans="1:13" ht="51" customHeight="1">
      <c r="A32" s="139" t="s">
        <v>160</v>
      </c>
      <c r="B32" s="136">
        <v>250</v>
      </c>
      <c r="C32" s="134" t="s">
        <v>1</v>
      </c>
      <c r="D32" s="134" t="s">
        <v>6</v>
      </c>
      <c r="E32" s="134" t="s">
        <v>109</v>
      </c>
      <c r="F32" s="134" t="s">
        <v>454</v>
      </c>
      <c r="G32" s="134">
        <v>244</v>
      </c>
      <c r="H32" s="142" t="s">
        <v>125</v>
      </c>
      <c r="I32" s="253">
        <f>SUM(I33:I40)</f>
        <v>301600</v>
      </c>
      <c r="J32" s="253">
        <f>SUM(J33:J40)</f>
        <v>660000</v>
      </c>
      <c r="K32" s="253">
        <f>SUM(K33:K40)</f>
        <v>660000</v>
      </c>
      <c r="M32" s="40"/>
    </row>
    <row r="33" spans="1:11" ht="13.5" customHeight="1" hidden="1">
      <c r="A33" s="141" t="s">
        <v>15</v>
      </c>
      <c r="B33" s="263">
        <v>250</v>
      </c>
      <c r="C33" s="264" t="s">
        <v>1</v>
      </c>
      <c r="D33" s="264" t="s">
        <v>6</v>
      </c>
      <c r="E33" s="264" t="s">
        <v>109</v>
      </c>
      <c r="F33" s="264" t="s">
        <v>266</v>
      </c>
      <c r="G33" s="264">
        <v>222</v>
      </c>
      <c r="H33" s="264">
        <v>222</v>
      </c>
      <c r="I33" s="265">
        <f>20000-20000</f>
        <v>0</v>
      </c>
      <c r="J33" s="266">
        <v>20000</v>
      </c>
      <c r="K33" s="266">
        <v>20000</v>
      </c>
    </row>
    <row r="34" spans="1:13" ht="16.5" customHeight="1" hidden="1">
      <c r="A34" s="144" t="s">
        <v>16</v>
      </c>
      <c r="B34" s="263">
        <v>250</v>
      </c>
      <c r="C34" s="264" t="s">
        <v>1</v>
      </c>
      <c r="D34" s="264" t="s">
        <v>6</v>
      </c>
      <c r="E34" s="264" t="s">
        <v>109</v>
      </c>
      <c r="F34" s="264" t="s">
        <v>266</v>
      </c>
      <c r="G34" s="264">
        <v>223</v>
      </c>
      <c r="H34" s="264">
        <v>223</v>
      </c>
      <c r="I34" s="253">
        <v>0</v>
      </c>
      <c r="J34" s="255">
        <v>0</v>
      </c>
      <c r="K34" s="255">
        <v>0</v>
      </c>
      <c r="M34" s="162"/>
    </row>
    <row r="35" spans="1:11" ht="27" customHeight="1" hidden="1">
      <c r="A35" s="144" t="s">
        <v>107</v>
      </c>
      <c r="B35" s="263">
        <v>250</v>
      </c>
      <c r="C35" s="264" t="s">
        <v>1</v>
      </c>
      <c r="D35" s="264" t="s">
        <v>6</v>
      </c>
      <c r="E35" s="264" t="s">
        <v>109</v>
      </c>
      <c r="F35" s="264" t="s">
        <v>266</v>
      </c>
      <c r="G35" s="264">
        <v>224</v>
      </c>
      <c r="H35" s="264">
        <v>224</v>
      </c>
      <c r="I35" s="265">
        <v>0</v>
      </c>
      <c r="J35" s="266">
        <v>0</v>
      </c>
      <c r="K35" s="266">
        <v>0</v>
      </c>
    </row>
    <row r="36" spans="1:13" ht="14.25" customHeight="1" hidden="1">
      <c r="A36" s="141" t="s">
        <v>17</v>
      </c>
      <c r="B36" s="263">
        <v>250</v>
      </c>
      <c r="C36" s="264" t="s">
        <v>1</v>
      </c>
      <c r="D36" s="264" t="s">
        <v>6</v>
      </c>
      <c r="E36" s="264" t="s">
        <v>109</v>
      </c>
      <c r="F36" s="264" t="s">
        <v>266</v>
      </c>
      <c r="G36" s="264">
        <v>225</v>
      </c>
      <c r="H36" s="264">
        <v>225</v>
      </c>
      <c r="I36" s="265">
        <f>20000-10000</f>
        <v>10000</v>
      </c>
      <c r="J36" s="266">
        <v>20000</v>
      </c>
      <c r="K36" s="266">
        <v>20000</v>
      </c>
      <c r="M36" s="16"/>
    </row>
    <row r="37" spans="1:13" ht="15.75" customHeight="1" hidden="1">
      <c r="A37" s="141" t="s">
        <v>161</v>
      </c>
      <c r="B37" s="263">
        <v>250</v>
      </c>
      <c r="C37" s="264" t="s">
        <v>1</v>
      </c>
      <c r="D37" s="264" t="s">
        <v>6</v>
      </c>
      <c r="E37" s="264" t="s">
        <v>109</v>
      </c>
      <c r="F37" s="264" t="s">
        <v>266</v>
      </c>
      <c r="G37" s="264">
        <v>226</v>
      </c>
      <c r="H37" s="264">
        <v>226</v>
      </c>
      <c r="I37" s="265">
        <f>150000-25000+20000+158600-70000</f>
        <v>233600</v>
      </c>
      <c r="J37" s="266">
        <v>320000</v>
      </c>
      <c r="K37" s="266">
        <v>320000</v>
      </c>
      <c r="M37" s="162"/>
    </row>
    <row r="38" spans="1:13" ht="12.75" customHeight="1" hidden="1">
      <c r="A38" s="141" t="s">
        <v>19</v>
      </c>
      <c r="B38" s="263">
        <v>250</v>
      </c>
      <c r="C38" s="264" t="s">
        <v>1</v>
      </c>
      <c r="D38" s="264" t="s">
        <v>6</v>
      </c>
      <c r="E38" s="264" t="s">
        <v>109</v>
      </c>
      <c r="F38" s="264" t="s">
        <v>266</v>
      </c>
      <c r="G38" s="264">
        <v>290</v>
      </c>
      <c r="H38" s="264">
        <v>290</v>
      </c>
      <c r="I38" s="265">
        <v>0</v>
      </c>
      <c r="J38" s="266">
        <v>0</v>
      </c>
      <c r="K38" s="266">
        <v>0</v>
      </c>
      <c r="M38" s="162"/>
    </row>
    <row r="39" spans="1:11" ht="34.5" customHeight="1" hidden="1">
      <c r="A39" s="141" t="s">
        <v>21</v>
      </c>
      <c r="B39" s="263">
        <v>250</v>
      </c>
      <c r="C39" s="264" t="s">
        <v>1</v>
      </c>
      <c r="D39" s="264" t="s">
        <v>6</v>
      </c>
      <c r="E39" s="264" t="s">
        <v>109</v>
      </c>
      <c r="F39" s="264" t="s">
        <v>266</v>
      </c>
      <c r="G39" s="264">
        <v>310</v>
      </c>
      <c r="H39" s="264">
        <v>340</v>
      </c>
      <c r="I39" s="265">
        <f>150000-150000</f>
        <v>0</v>
      </c>
      <c r="J39" s="266">
        <v>150000</v>
      </c>
      <c r="K39" s="266">
        <v>150000</v>
      </c>
    </row>
    <row r="40" spans="1:11" ht="26.25" customHeight="1" hidden="1">
      <c r="A40" s="141" t="s">
        <v>22</v>
      </c>
      <c r="B40" s="263">
        <v>250</v>
      </c>
      <c r="C40" s="264" t="s">
        <v>1</v>
      </c>
      <c r="D40" s="264" t="s">
        <v>6</v>
      </c>
      <c r="E40" s="264" t="s">
        <v>109</v>
      </c>
      <c r="F40" s="264" t="s">
        <v>266</v>
      </c>
      <c r="G40" s="264">
        <v>340</v>
      </c>
      <c r="H40" s="264">
        <v>310</v>
      </c>
      <c r="I40" s="265">
        <f>150000-72000-20000</f>
        <v>58000</v>
      </c>
      <c r="J40" s="266">
        <v>150000</v>
      </c>
      <c r="K40" s="266">
        <v>150000</v>
      </c>
    </row>
    <row r="41" spans="1:11" ht="26.25" customHeight="1">
      <c r="A41" s="152" t="s">
        <v>441</v>
      </c>
      <c r="B41" s="138">
        <v>250</v>
      </c>
      <c r="C41" s="158" t="str">
        <f>C40</f>
        <v>О1</v>
      </c>
      <c r="D41" s="158" t="str">
        <f>D40</f>
        <v>О4</v>
      </c>
      <c r="E41" s="158"/>
      <c r="F41" s="158" t="str">
        <f>F32</f>
        <v>91 1 02 90120</v>
      </c>
      <c r="G41" s="158">
        <v>247</v>
      </c>
      <c r="H41" s="158"/>
      <c r="I41" s="261">
        <v>200000</v>
      </c>
      <c r="J41" s="261">
        <v>200000</v>
      </c>
      <c r="K41" s="261">
        <v>200000</v>
      </c>
    </row>
    <row r="42" spans="1:11" ht="24.75" customHeight="1">
      <c r="A42" s="139" t="s">
        <v>227</v>
      </c>
      <c r="B42" s="136">
        <v>250</v>
      </c>
      <c r="C42" s="134" t="s">
        <v>1</v>
      </c>
      <c r="D42" s="134" t="s">
        <v>6</v>
      </c>
      <c r="E42" s="134" t="s">
        <v>109</v>
      </c>
      <c r="F42" s="134" t="s">
        <v>454</v>
      </c>
      <c r="G42" s="136">
        <v>800</v>
      </c>
      <c r="H42" s="142" t="s">
        <v>125</v>
      </c>
      <c r="I42" s="253">
        <f>I43</f>
        <v>40000</v>
      </c>
      <c r="J42" s="253">
        <f>J43</f>
        <v>20000</v>
      </c>
      <c r="K42" s="253">
        <f>K43</f>
        <v>20000</v>
      </c>
    </row>
    <row r="43" spans="1:11" ht="32.25" customHeight="1">
      <c r="A43" s="139" t="s">
        <v>162</v>
      </c>
      <c r="B43" s="136">
        <v>250</v>
      </c>
      <c r="C43" s="134" t="s">
        <v>1</v>
      </c>
      <c r="D43" s="134" t="s">
        <v>6</v>
      </c>
      <c r="E43" s="134" t="s">
        <v>109</v>
      </c>
      <c r="F43" s="134" t="s">
        <v>454</v>
      </c>
      <c r="G43" s="134">
        <v>850</v>
      </c>
      <c r="H43" s="142" t="s">
        <v>125</v>
      </c>
      <c r="I43" s="253">
        <f>I45+I47</f>
        <v>40000</v>
      </c>
      <c r="J43" s="253">
        <f>J45+J47</f>
        <v>20000</v>
      </c>
      <c r="K43" s="253">
        <f>K45+K47</f>
        <v>20000</v>
      </c>
    </row>
    <row r="44" spans="1:11" ht="15.75" customHeight="1" hidden="1">
      <c r="A44" s="141" t="s">
        <v>163</v>
      </c>
      <c r="B44" s="136">
        <v>250</v>
      </c>
      <c r="C44" s="134" t="s">
        <v>1</v>
      </c>
      <c r="D44" s="134" t="s">
        <v>6</v>
      </c>
      <c r="E44" s="134" t="s">
        <v>109</v>
      </c>
      <c r="F44" s="134" t="s">
        <v>266</v>
      </c>
      <c r="G44" s="134">
        <v>852</v>
      </c>
      <c r="H44" s="136">
        <v>290</v>
      </c>
      <c r="I44" s="253">
        <v>5000</v>
      </c>
      <c r="J44" s="255"/>
      <c r="K44" s="255"/>
    </row>
    <row r="45" spans="1:11" ht="44.25" customHeight="1">
      <c r="A45" s="139" t="s">
        <v>250</v>
      </c>
      <c r="B45" s="136">
        <v>250</v>
      </c>
      <c r="C45" s="134" t="s">
        <v>1</v>
      </c>
      <c r="D45" s="134" t="s">
        <v>6</v>
      </c>
      <c r="E45" s="134" t="s">
        <v>109</v>
      </c>
      <c r="F45" s="134" t="s">
        <v>454</v>
      </c>
      <c r="G45" s="134">
        <v>852</v>
      </c>
      <c r="H45" s="142" t="s">
        <v>125</v>
      </c>
      <c r="I45" s="253">
        <f>I46</f>
        <v>10000</v>
      </c>
      <c r="J45" s="255">
        <f>J46</f>
        <v>10000</v>
      </c>
      <c r="K45" s="255">
        <f>K46</f>
        <v>10000</v>
      </c>
    </row>
    <row r="46" spans="1:11" ht="15.75" customHeight="1" hidden="1">
      <c r="A46" s="141" t="s">
        <v>19</v>
      </c>
      <c r="B46" s="263">
        <v>250</v>
      </c>
      <c r="C46" s="264" t="s">
        <v>1</v>
      </c>
      <c r="D46" s="264" t="s">
        <v>6</v>
      </c>
      <c r="E46" s="264" t="s">
        <v>109</v>
      </c>
      <c r="F46" s="264" t="s">
        <v>266</v>
      </c>
      <c r="G46" s="264">
        <v>290</v>
      </c>
      <c r="H46" s="136">
        <v>290</v>
      </c>
      <c r="I46" s="253">
        <f>10000</f>
        <v>10000</v>
      </c>
      <c r="J46" s="255">
        <v>10000</v>
      </c>
      <c r="K46" s="255">
        <v>10000</v>
      </c>
    </row>
    <row r="47" spans="1:11" ht="43.5" customHeight="1">
      <c r="A47" s="139" t="s">
        <v>163</v>
      </c>
      <c r="B47" s="136">
        <v>250</v>
      </c>
      <c r="C47" s="134" t="s">
        <v>1</v>
      </c>
      <c r="D47" s="134" t="s">
        <v>6</v>
      </c>
      <c r="E47" s="134" t="s">
        <v>109</v>
      </c>
      <c r="F47" s="134" t="s">
        <v>454</v>
      </c>
      <c r="G47" s="134">
        <v>853</v>
      </c>
      <c r="H47" s="142" t="s">
        <v>125</v>
      </c>
      <c r="I47" s="253">
        <f>I48</f>
        <v>30000</v>
      </c>
      <c r="J47" s="255">
        <f>J48</f>
        <v>10000</v>
      </c>
      <c r="K47" s="255">
        <f>K48</f>
        <v>10000</v>
      </c>
    </row>
    <row r="48" spans="1:11" ht="15.75" customHeight="1" hidden="1">
      <c r="A48" s="141" t="s">
        <v>19</v>
      </c>
      <c r="B48" s="263">
        <v>250</v>
      </c>
      <c r="C48" s="264" t="s">
        <v>1</v>
      </c>
      <c r="D48" s="264" t="s">
        <v>6</v>
      </c>
      <c r="E48" s="264" t="s">
        <v>109</v>
      </c>
      <c r="F48" s="264"/>
      <c r="G48" s="264">
        <v>290</v>
      </c>
      <c r="H48" s="136">
        <v>290</v>
      </c>
      <c r="I48" s="253">
        <f>30000</f>
        <v>30000</v>
      </c>
      <c r="J48" s="255">
        <f>10000</f>
        <v>10000</v>
      </c>
      <c r="K48" s="255">
        <f>10000</f>
        <v>10000</v>
      </c>
    </row>
    <row r="49" spans="1:11" ht="49.5" customHeight="1" hidden="1">
      <c r="A49" s="164" t="s">
        <v>306</v>
      </c>
      <c r="B49" s="165">
        <v>250</v>
      </c>
      <c r="C49" s="166" t="s">
        <v>126</v>
      </c>
      <c r="D49" s="166" t="s">
        <v>308</v>
      </c>
      <c r="E49" s="166" t="s">
        <v>124</v>
      </c>
      <c r="F49" s="166" t="s">
        <v>309</v>
      </c>
      <c r="G49" s="165"/>
      <c r="H49" s="166" t="s">
        <v>125</v>
      </c>
      <c r="I49" s="256">
        <f>I50</f>
        <v>0</v>
      </c>
      <c r="J49" s="256">
        <f>J50</f>
        <v>0</v>
      </c>
      <c r="K49" s="256">
        <f>K50</f>
        <v>0</v>
      </c>
    </row>
    <row r="50" spans="1:11" ht="42.75" customHeight="1" hidden="1">
      <c r="A50" s="133" t="s">
        <v>307</v>
      </c>
      <c r="B50" s="136">
        <v>250</v>
      </c>
      <c r="C50" s="142" t="s">
        <v>126</v>
      </c>
      <c r="D50" s="142" t="s">
        <v>308</v>
      </c>
      <c r="E50" s="142" t="s">
        <v>124</v>
      </c>
      <c r="F50" s="142" t="s">
        <v>309</v>
      </c>
      <c r="G50" s="136"/>
      <c r="H50" s="142" t="s">
        <v>125</v>
      </c>
      <c r="I50" s="257">
        <f aca="true" t="shared" si="1" ref="I50:K52">I51</f>
        <v>0</v>
      </c>
      <c r="J50" s="257">
        <f t="shared" si="1"/>
        <v>0</v>
      </c>
      <c r="K50" s="257">
        <f t="shared" si="1"/>
        <v>0</v>
      </c>
    </row>
    <row r="51" spans="1:11" ht="31.5" customHeight="1" hidden="1">
      <c r="A51" s="139" t="s">
        <v>153</v>
      </c>
      <c r="B51" s="136">
        <v>250</v>
      </c>
      <c r="C51" s="142" t="s">
        <v>126</v>
      </c>
      <c r="D51" s="142" t="s">
        <v>308</v>
      </c>
      <c r="E51" s="142" t="s">
        <v>124</v>
      </c>
      <c r="F51" s="142" t="s">
        <v>309</v>
      </c>
      <c r="G51" s="140" t="s">
        <v>127</v>
      </c>
      <c r="H51" s="140" t="s">
        <v>125</v>
      </c>
      <c r="I51" s="257">
        <f t="shared" si="1"/>
        <v>0</v>
      </c>
      <c r="J51" s="257">
        <f t="shared" si="1"/>
        <v>0</v>
      </c>
      <c r="K51" s="257">
        <f t="shared" si="1"/>
        <v>0</v>
      </c>
    </row>
    <row r="52" spans="1:11" ht="31.5" customHeight="1" hidden="1">
      <c r="A52" s="133" t="s">
        <v>256</v>
      </c>
      <c r="B52" s="136">
        <v>250</v>
      </c>
      <c r="C52" s="142" t="s">
        <v>126</v>
      </c>
      <c r="D52" s="142" t="s">
        <v>308</v>
      </c>
      <c r="E52" s="142" t="s">
        <v>124</v>
      </c>
      <c r="F52" s="142" t="s">
        <v>309</v>
      </c>
      <c r="G52" s="140" t="s">
        <v>257</v>
      </c>
      <c r="H52" s="140"/>
      <c r="I52" s="258">
        <f t="shared" si="1"/>
        <v>0</v>
      </c>
      <c r="J52" s="258">
        <f t="shared" si="1"/>
        <v>0</v>
      </c>
      <c r="K52" s="258">
        <f t="shared" si="1"/>
        <v>0</v>
      </c>
    </row>
    <row r="53" spans="1:11" ht="51" customHeight="1" hidden="1">
      <c r="A53" s="145" t="s">
        <v>160</v>
      </c>
      <c r="B53" s="136">
        <v>250</v>
      </c>
      <c r="C53" s="142" t="s">
        <v>126</v>
      </c>
      <c r="D53" s="142" t="s">
        <v>308</v>
      </c>
      <c r="E53" s="142" t="s">
        <v>124</v>
      </c>
      <c r="F53" s="142" t="s">
        <v>309</v>
      </c>
      <c r="G53" s="140" t="s">
        <v>180</v>
      </c>
      <c r="H53" s="140"/>
      <c r="I53" s="258">
        <v>0</v>
      </c>
      <c r="J53" s="258">
        <f>J55</f>
        <v>0</v>
      </c>
      <c r="K53" s="258">
        <v>0</v>
      </c>
    </row>
    <row r="54" spans="1:11" ht="18" customHeight="1" hidden="1">
      <c r="A54" s="163" t="s">
        <v>161</v>
      </c>
      <c r="B54" s="136">
        <v>250</v>
      </c>
      <c r="C54" s="142" t="s">
        <v>126</v>
      </c>
      <c r="D54" s="142" t="s">
        <v>308</v>
      </c>
      <c r="E54" s="142" t="s">
        <v>124</v>
      </c>
      <c r="F54" s="142" t="s">
        <v>309</v>
      </c>
      <c r="G54" s="140" t="s">
        <v>180</v>
      </c>
      <c r="H54" s="140"/>
      <c r="I54" s="258">
        <v>0</v>
      </c>
      <c r="J54" s="258"/>
      <c r="K54" s="258"/>
    </row>
    <row r="55" spans="1:11" ht="33" customHeight="1" hidden="1">
      <c r="A55" s="141" t="s">
        <v>310</v>
      </c>
      <c r="B55" s="136">
        <v>250</v>
      </c>
      <c r="C55" s="142" t="s">
        <v>126</v>
      </c>
      <c r="D55" s="142" t="s">
        <v>308</v>
      </c>
      <c r="E55" s="142" t="s">
        <v>124</v>
      </c>
      <c r="F55" s="142" t="s">
        <v>309</v>
      </c>
      <c r="G55" s="140" t="s">
        <v>180</v>
      </c>
      <c r="H55" s="140"/>
      <c r="I55" s="258">
        <v>0</v>
      </c>
      <c r="J55" s="255">
        <v>0</v>
      </c>
      <c r="K55" s="255">
        <v>0</v>
      </c>
    </row>
    <row r="56" spans="1:11" ht="33" customHeight="1" hidden="1">
      <c r="A56" s="141" t="s">
        <v>22</v>
      </c>
      <c r="B56" s="136">
        <v>250</v>
      </c>
      <c r="C56" s="142" t="s">
        <v>126</v>
      </c>
      <c r="D56" s="142" t="s">
        <v>308</v>
      </c>
      <c r="E56" s="142" t="s">
        <v>124</v>
      </c>
      <c r="F56" s="142" t="s">
        <v>309</v>
      </c>
      <c r="G56" s="140" t="s">
        <v>180</v>
      </c>
      <c r="H56" s="140"/>
      <c r="I56" s="258">
        <v>0</v>
      </c>
      <c r="J56" s="255"/>
      <c r="K56" s="255"/>
    </row>
    <row r="57" spans="1:11" ht="53.25" customHeight="1">
      <c r="A57" s="164" t="s">
        <v>249</v>
      </c>
      <c r="B57" s="165">
        <v>250</v>
      </c>
      <c r="C57" s="165" t="s">
        <v>1</v>
      </c>
      <c r="D57" s="165">
        <v>11</v>
      </c>
      <c r="E57" s="165" t="s">
        <v>3</v>
      </c>
      <c r="F57" s="150" t="s">
        <v>487</v>
      </c>
      <c r="G57" s="165" t="s">
        <v>4</v>
      </c>
      <c r="H57" s="166" t="s">
        <v>125</v>
      </c>
      <c r="I57" s="256">
        <f>I59</f>
        <v>10000</v>
      </c>
      <c r="J57" s="256">
        <f>J59</f>
        <v>10000</v>
      </c>
      <c r="K57" s="256">
        <f>K59</f>
        <v>10000</v>
      </c>
    </row>
    <row r="58" spans="1:11" ht="40.5">
      <c r="A58" s="139" t="s">
        <v>251</v>
      </c>
      <c r="B58" s="136">
        <v>250</v>
      </c>
      <c r="C58" s="134" t="s">
        <v>1</v>
      </c>
      <c r="D58" s="134">
        <v>11</v>
      </c>
      <c r="E58" s="134" t="s">
        <v>3</v>
      </c>
      <c r="F58" s="134" t="s">
        <v>455</v>
      </c>
      <c r="G58" s="134" t="s">
        <v>4</v>
      </c>
      <c r="H58" s="142" t="s">
        <v>125</v>
      </c>
      <c r="I58" s="258">
        <f aca="true" t="shared" si="2" ref="I58:K59">I59</f>
        <v>10000</v>
      </c>
      <c r="J58" s="258">
        <f t="shared" si="2"/>
        <v>10000</v>
      </c>
      <c r="K58" s="258">
        <f t="shared" si="2"/>
        <v>10000</v>
      </c>
    </row>
    <row r="59" spans="1:11" ht="25.5" customHeight="1">
      <c r="A59" s="139" t="s">
        <v>227</v>
      </c>
      <c r="B59" s="136">
        <v>250</v>
      </c>
      <c r="C59" s="134" t="s">
        <v>1</v>
      </c>
      <c r="D59" s="134">
        <v>11</v>
      </c>
      <c r="E59" s="134" t="s">
        <v>113</v>
      </c>
      <c r="F59" s="134" t="s">
        <v>455</v>
      </c>
      <c r="G59" s="136">
        <v>800</v>
      </c>
      <c r="H59" s="142" t="s">
        <v>125</v>
      </c>
      <c r="I59" s="258">
        <f t="shared" si="2"/>
        <v>10000</v>
      </c>
      <c r="J59" s="258">
        <f t="shared" si="2"/>
        <v>10000</v>
      </c>
      <c r="K59" s="258">
        <f t="shared" si="2"/>
        <v>10000</v>
      </c>
    </row>
    <row r="60" spans="1:11" ht="21.75" customHeight="1">
      <c r="A60" s="139" t="s">
        <v>252</v>
      </c>
      <c r="B60" s="136">
        <v>250</v>
      </c>
      <c r="C60" s="134" t="s">
        <v>1</v>
      </c>
      <c r="D60" s="134">
        <v>11</v>
      </c>
      <c r="E60" s="134" t="s">
        <v>113</v>
      </c>
      <c r="F60" s="134" t="s">
        <v>455</v>
      </c>
      <c r="G60" s="134">
        <v>870</v>
      </c>
      <c r="H60" s="142" t="s">
        <v>125</v>
      </c>
      <c r="I60" s="258">
        <f>I61</f>
        <v>10000</v>
      </c>
      <c r="J60" s="255">
        <f>J61</f>
        <v>10000</v>
      </c>
      <c r="K60" s="255">
        <f>K61</f>
        <v>10000</v>
      </c>
    </row>
    <row r="61" spans="1:11" ht="13.5" hidden="1">
      <c r="A61" s="141" t="s">
        <v>19</v>
      </c>
      <c r="B61" s="263">
        <v>250</v>
      </c>
      <c r="C61" s="264" t="s">
        <v>1</v>
      </c>
      <c r="D61" s="264">
        <v>11</v>
      </c>
      <c r="E61" s="264" t="s">
        <v>113</v>
      </c>
      <c r="F61" s="264"/>
      <c r="G61" s="264">
        <v>870</v>
      </c>
      <c r="H61" s="142" t="s">
        <v>253</v>
      </c>
      <c r="I61" s="258">
        <v>10000</v>
      </c>
      <c r="J61" s="255">
        <f>10000</f>
        <v>10000</v>
      </c>
      <c r="K61" s="255">
        <f>10000</f>
        <v>10000</v>
      </c>
    </row>
    <row r="62" spans="1:11" ht="40.5">
      <c r="A62" s="164" t="s">
        <v>245</v>
      </c>
      <c r="B62" s="165">
        <v>250</v>
      </c>
      <c r="C62" s="166" t="s">
        <v>126</v>
      </c>
      <c r="D62" s="166" t="s">
        <v>202</v>
      </c>
      <c r="E62" s="166" t="s">
        <v>124</v>
      </c>
      <c r="F62" s="166" t="s">
        <v>267</v>
      </c>
      <c r="G62" s="165" t="s">
        <v>4</v>
      </c>
      <c r="H62" s="166" t="s">
        <v>125</v>
      </c>
      <c r="I62" s="256">
        <f>I63</f>
        <v>700</v>
      </c>
      <c r="J62" s="256">
        <f>J63</f>
        <v>700</v>
      </c>
      <c r="K62" s="256">
        <f>K63</f>
        <v>700</v>
      </c>
    </row>
    <row r="63" spans="1:11" ht="108">
      <c r="A63" s="133" t="s">
        <v>201</v>
      </c>
      <c r="B63" s="136">
        <v>250</v>
      </c>
      <c r="C63" s="136" t="s">
        <v>1</v>
      </c>
      <c r="D63" s="136">
        <v>13</v>
      </c>
      <c r="E63" s="136" t="s">
        <v>3</v>
      </c>
      <c r="F63" s="136" t="s">
        <v>456</v>
      </c>
      <c r="G63" s="136" t="s">
        <v>4</v>
      </c>
      <c r="H63" s="142" t="s">
        <v>125</v>
      </c>
      <c r="I63" s="257">
        <f aca="true" t="shared" si="3" ref="I63:K66">I64</f>
        <v>700</v>
      </c>
      <c r="J63" s="257">
        <f t="shared" si="3"/>
        <v>700</v>
      </c>
      <c r="K63" s="257">
        <f t="shared" si="3"/>
        <v>700</v>
      </c>
    </row>
    <row r="64" spans="1:11" ht="33.75" customHeight="1">
      <c r="A64" s="139" t="s">
        <v>153</v>
      </c>
      <c r="B64" s="136">
        <v>250</v>
      </c>
      <c r="C64" s="140" t="s">
        <v>126</v>
      </c>
      <c r="D64" s="140" t="s">
        <v>202</v>
      </c>
      <c r="E64" s="140" t="s">
        <v>203</v>
      </c>
      <c r="F64" s="134" t="s">
        <v>456</v>
      </c>
      <c r="G64" s="142" t="s">
        <v>127</v>
      </c>
      <c r="H64" s="140" t="s">
        <v>125</v>
      </c>
      <c r="I64" s="257">
        <f t="shared" si="3"/>
        <v>700</v>
      </c>
      <c r="J64" s="257">
        <f t="shared" si="3"/>
        <v>700</v>
      </c>
      <c r="K64" s="257">
        <f t="shared" si="3"/>
        <v>700</v>
      </c>
    </row>
    <row r="65" spans="1:11" ht="27">
      <c r="A65" s="133" t="s">
        <v>256</v>
      </c>
      <c r="B65" s="136">
        <v>250</v>
      </c>
      <c r="C65" s="140" t="s">
        <v>126</v>
      </c>
      <c r="D65" s="140" t="s">
        <v>202</v>
      </c>
      <c r="E65" s="140" t="s">
        <v>203</v>
      </c>
      <c r="F65" s="134" t="s">
        <v>456</v>
      </c>
      <c r="G65" s="140" t="s">
        <v>257</v>
      </c>
      <c r="H65" s="140"/>
      <c r="I65" s="258">
        <f t="shared" si="3"/>
        <v>700</v>
      </c>
      <c r="J65" s="258">
        <f t="shared" si="3"/>
        <v>700</v>
      </c>
      <c r="K65" s="258">
        <f t="shared" si="3"/>
        <v>700</v>
      </c>
    </row>
    <row r="66" spans="1:11" ht="40.5">
      <c r="A66" s="145" t="s">
        <v>160</v>
      </c>
      <c r="B66" s="136">
        <v>250</v>
      </c>
      <c r="C66" s="140" t="s">
        <v>126</v>
      </c>
      <c r="D66" s="140" t="s">
        <v>202</v>
      </c>
      <c r="E66" s="140" t="s">
        <v>203</v>
      </c>
      <c r="F66" s="134" t="s">
        <v>456</v>
      </c>
      <c r="G66" s="140" t="s">
        <v>180</v>
      </c>
      <c r="H66" s="140"/>
      <c r="I66" s="258">
        <f t="shared" si="3"/>
        <v>700</v>
      </c>
      <c r="J66" s="258">
        <f t="shared" si="3"/>
        <v>700</v>
      </c>
      <c r="K66" s="258">
        <f t="shared" si="3"/>
        <v>700</v>
      </c>
    </row>
    <row r="67" spans="1:11" ht="27" hidden="1">
      <c r="A67" s="141" t="s">
        <v>258</v>
      </c>
      <c r="B67" s="136">
        <v>250</v>
      </c>
      <c r="C67" s="140" t="s">
        <v>126</v>
      </c>
      <c r="D67" s="140" t="s">
        <v>202</v>
      </c>
      <c r="E67" s="140" t="s">
        <v>203</v>
      </c>
      <c r="F67" s="136"/>
      <c r="G67" s="140" t="s">
        <v>180</v>
      </c>
      <c r="H67" s="140"/>
      <c r="I67" s="258">
        <v>700</v>
      </c>
      <c r="J67" s="255">
        <v>700</v>
      </c>
      <c r="K67" s="255">
        <v>700</v>
      </c>
    </row>
    <row r="68" spans="1:11" ht="13.5">
      <c r="A68" s="164" t="s">
        <v>68</v>
      </c>
      <c r="B68" s="165">
        <v>250</v>
      </c>
      <c r="C68" s="165" t="s">
        <v>39</v>
      </c>
      <c r="D68" s="166" t="s">
        <v>123</v>
      </c>
      <c r="E68" s="165" t="s">
        <v>124</v>
      </c>
      <c r="F68" s="165" t="s">
        <v>520</v>
      </c>
      <c r="G68" s="165" t="s">
        <v>4</v>
      </c>
      <c r="H68" s="166" t="s">
        <v>125</v>
      </c>
      <c r="I68" s="256">
        <f aca="true" t="shared" si="4" ref="I68:K69">I69</f>
        <v>137300</v>
      </c>
      <c r="J68" s="256">
        <f t="shared" si="4"/>
        <v>138800</v>
      </c>
      <c r="K68" s="256">
        <f t="shared" si="4"/>
        <v>144500</v>
      </c>
    </row>
    <row r="69" spans="1:12" s="308" customFormat="1" ht="27" hidden="1">
      <c r="A69" s="304" t="s">
        <v>67</v>
      </c>
      <c r="B69" s="305">
        <v>250</v>
      </c>
      <c r="C69" s="303" t="s">
        <v>39</v>
      </c>
      <c r="D69" s="303" t="s">
        <v>43</v>
      </c>
      <c r="E69" s="303" t="s">
        <v>124</v>
      </c>
      <c r="F69" s="303" t="s">
        <v>268</v>
      </c>
      <c r="G69" s="303"/>
      <c r="H69" s="306" t="s">
        <v>125</v>
      </c>
      <c r="I69" s="307">
        <f t="shared" si="4"/>
        <v>137300</v>
      </c>
      <c r="J69" s="307">
        <f t="shared" si="4"/>
        <v>138800</v>
      </c>
      <c r="K69" s="307">
        <f t="shared" si="4"/>
        <v>144500</v>
      </c>
      <c r="L69" s="308" t="s">
        <v>462</v>
      </c>
    </row>
    <row r="70" spans="1:11" ht="54">
      <c r="A70" s="139" t="s">
        <v>90</v>
      </c>
      <c r="B70" s="136">
        <v>250</v>
      </c>
      <c r="C70" s="134" t="s">
        <v>39</v>
      </c>
      <c r="D70" s="134" t="s">
        <v>43</v>
      </c>
      <c r="E70" s="134" t="s">
        <v>200</v>
      </c>
      <c r="F70" s="134" t="s">
        <v>269</v>
      </c>
      <c r="G70" s="134" t="s">
        <v>4</v>
      </c>
      <c r="H70" s="140" t="s">
        <v>125</v>
      </c>
      <c r="I70" s="253">
        <f>I71+I77</f>
        <v>137300</v>
      </c>
      <c r="J70" s="253">
        <f>J71+J77</f>
        <v>138800</v>
      </c>
      <c r="K70" s="253">
        <f>K71+K77</f>
        <v>144500</v>
      </c>
    </row>
    <row r="71" spans="1:11" ht="108">
      <c r="A71" s="139" t="s">
        <v>254</v>
      </c>
      <c r="B71" s="136">
        <v>250</v>
      </c>
      <c r="C71" s="134" t="s">
        <v>39</v>
      </c>
      <c r="D71" s="134" t="s">
        <v>43</v>
      </c>
      <c r="E71" s="134" t="s">
        <v>200</v>
      </c>
      <c r="F71" s="134" t="s">
        <v>269</v>
      </c>
      <c r="G71" s="136">
        <v>100</v>
      </c>
      <c r="H71" s="140"/>
      <c r="I71" s="253">
        <f>I72</f>
        <v>132804</v>
      </c>
      <c r="J71" s="253">
        <f>J72</f>
        <v>132804</v>
      </c>
      <c r="K71" s="253">
        <f>K72</f>
        <v>140616</v>
      </c>
    </row>
    <row r="72" spans="1:11" ht="40.5">
      <c r="A72" s="139" t="s">
        <v>255</v>
      </c>
      <c r="B72" s="136">
        <v>250</v>
      </c>
      <c r="C72" s="134" t="s">
        <v>39</v>
      </c>
      <c r="D72" s="134" t="s">
        <v>43</v>
      </c>
      <c r="E72" s="134" t="s">
        <v>200</v>
      </c>
      <c r="F72" s="134" t="s">
        <v>269</v>
      </c>
      <c r="G72" s="134">
        <v>120</v>
      </c>
      <c r="H72" s="140"/>
      <c r="I72" s="253">
        <f>I73+I75</f>
        <v>132804</v>
      </c>
      <c r="J72" s="253">
        <f>J73+J75</f>
        <v>132804</v>
      </c>
      <c r="K72" s="253">
        <f>K73+K75</f>
        <v>140616</v>
      </c>
    </row>
    <row r="73" spans="1:13" ht="28.5" customHeight="1" hidden="1">
      <c r="A73" s="139" t="s">
        <v>396</v>
      </c>
      <c r="B73" s="136">
        <v>250</v>
      </c>
      <c r="C73" s="134" t="s">
        <v>39</v>
      </c>
      <c r="D73" s="134" t="s">
        <v>43</v>
      </c>
      <c r="E73" s="134" t="s">
        <v>200</v>
      </c>
      <c r="F73" s="134" t="s">
        <v>269</v>
      </c>
      <c r="G73" s="134">
        <v>121</v>
      </c>
      <c r="H73" s="134">
        <v>210</v>
      </c>
      <c r="I73" s="253">
        <f>I74</f>
        <v>102000</v>
      </c>
      <c r="J73" s="253">
        <f>J74</f>
        <v>102000</v>
      </c>
      <c r="K73" s="253">
        <f>K74</f>
        <v>108000</v>
      </c>
      <c r="M73" s="40"/>
    </row>
    <row r="74" spans="1:13" ht="13.5" hidden="1">
      <c r="A74" s="141" t="s">
        <v>10</v>
      </c>
      <c r="B74" s="263">
        <v>250</v>
      </c>
      <c r="C74" s="264" t="s">
        <v>39</v>
      </c>
      <c r="D74" s="264" t="s">
        <v>43</v>
      </c>
      <c r="E74" s="264" t="s">
        <v>200</v>
      </c>
      <c r="F74" s="264" t="s">
        <v>269</v>
      </c>
      <c r="G74" s="264">
        <v>211</v>
      </c>
      <c r="H74" s="264">
        <v>211</v>
      </c>
      <c r="I74" s="253">
        <f>8500*12</f>
        <v>102000</v>
      </c>
      <c r="J74" s="253">
        <f>8500*12</f>
        <v>102000</v>
      </c>
      <c r="K74" s="253">
        <f>9000*12</f>
        <v>108000</v>
      </c>
      <c r="M74" s="40"/>
    </row>
    <row r="75" spans="1:13" ht="67.5" hidden="1">
      <c r="A75" s="141" t="s">
        <v>397</v>
      </c>
      <c r="B75" s="263">
        <v>250</v>
      </c>
      <c r="C75" s="268" t="s">
        <v>146</v>
      </c>
      <c r="D75" s="268" t="s">
        <v>177</v>
      </c>
      <c r="E75" s="264"/>
      <c r="F75" s="264" t="s">
        <v>269</v>
      </c>
      <c r="G75" s="264">
        <v>129</v>
      </c>
      <c r="H75" s="134"/>
      <c r="I75" s="253">
        <f>I76</f>
        <v>30804</v>
      </c>
      <c r="J75" s="253">
        <f>J76</f>
        <v>30804</v>
      </c>
      <c r="K75" s="253">
        <f>K76</f>
        <v>32616</v>
      </c>
      <c r="M75" s="40"/>
    </row>
    <row r="76" spans="1:11" ht="14.25" customHeight="1" hidden="1">
      <c r="A76" s="141" t="s">
        <v>12</v>
      </c>
      <c r="B76" s="263">
        <v>250</v>
      </c>
      <c r="C76" s="264" t="s">
        <v>39</v>
      </c>
      <c r="D76" s="264" t="s">
        <v>43</v>
      </c>
      <c r="E76" s="264" t="s">
        <v>200</v>
      </c>
      <c r="F76" s="264" t="s">
        <v>269</v>
      </c>
      <c r="G76" s="264">
        <v>213</v>
      </c>
      <c r="H76" s="264">
        <v>213</v>
      </c>
      <c r="I76" s="253">
        <f>I74*30.2%</f>
        <v>30804</v>
      </c>
      <c r="J76" s="253">
        <f>J74*30.2%</f>
        <v>30804</v>
      </c>
      <c r="K76" s="253">
        <f>K74*30.2%</f>
        <v>32616</v>
      </c>
    </row>
    <row r="77" spans="1:11" ht="25.5" customHeight="1">
      <c r="A77" s="139" t="s">
        <v>153</v>
      </c>
      <c r="B77" s="136">
        <v>250</v>
      </c>
      <c r="C77" s="134" t="s">
        <v>39</v>
      </c>
      <c r="D77" s="134" t="s">
        <v>43</v>
      </c>
      <c r="E77" s="134" t="s">
        <v>200</v>
      </c>
      <c r="F77" s="134" t="s">
        <v>269</v>
      </c>
      <c r="G77" s="136">
        <v>200</v>
      </c>
      <c r="H77" s="134"/>
      <c r="I77" s="253">
        <f>I78</f>
        <v>4496</v>
      </c>
      <c r="J77" s="253">
        <f>J79+J81</f>
        <v>5996</v>
      </c>
      <c r="K77" s="253">
        <f>K79+K81</f>
        <v>3884</v>
      </c>
    </row>
    <row r="78" spans="1:11" ht="28.5" customHeight="1">
      <c r="A78" s="139" t="s">
        <v>256</v>
      </c>
      <c r="B78" s="136">
        <v>250</v>
      </c>
      <c r="C78" s="134" t="s">
        <v>39</v>
      </c>
      <c r="D78" s="134" t="s">
        <v>43</v>
      </c>
      <c r="E78" s="134" t="s">
        <v>200</v>
      </c>
      <c r="F78" s="134" t="s">
        <v>269</v>
      </c>
      <c r="G78" s="134">
        <v>240</v>
      </c>
      <c r="H78" s="134"/>
      <c r="I78" s="253">
        <f>I81+I79</f>
        <v>4496</v>
      </c>
      <c r="J78" s="253">
        <f>J81+J79</f>
        <v>5996</v>
      </c>
      <c r="K78" s="253">
        <f>K81+K79</f>
        <v>3884</v>
      </c>
    </row>
    <row r="79" spans="1:11" ht="42" customHeight="1">
      <c r="A79" s="139" t="s">
        <v>154</v>
      </c>
      <c r="B79" s="136">
        <v>250</v>
      </c>
      <c r="C79" s="134" t="s">
        <v>39</v>
      </c>
      <c r="D79" s="134" t="s">
        <v>43</v>
      </c>
      <c r="E79" s="134" t="s">
        <v>200</v>
      </c>
      <c r="F79" s="134" t="s">
        <v>269</v>
      </c>
      <c r="G79" s="134">
        <v>242</v>
      </c>
      <c r="H79" s="134"/>
      <c r="I79" s="253">
        <f>I80</f>
        <v>0</v>
      </c>
      <c r="J79" s="253">
        <f>J80</f>
        <v>0</v>
      </c>
      <c r="K79" s="253">
        <f>K80</f>
        <v>0</v>
      </c>
    </row>
    <row r="80" spans="1:11" ht="15" customHeight="1" hidden="1">
      <c r="A80" s="141" t="s">
        <v>14</v>
      </c>
      <c r="B80" s="263">
        <v>250</v>
      </c>
      <c r="C80" s="264" t="s">
        <v>39</v>
      </c>
      <c r="D80" s="264" t="s">
        <v>43</v>
      </c>
      <c r="E80" s="264" t="s">
        <v>200</v>
      </c>
      <c r="F80" s="264" t="s">
        <v>269</v>
      </c>
      <c r="G80" s="264">
        <v>221</v>
      </c>
      <c r="H80" s="134">
        <v>221</v>
      </c>
      <c r="I80" s="253">
        <v>0</v>
      </c>
      <c r="J80" s="255">
        <v>0</v>
      </c>
      <c r="K80" s="255">
        <v>0</v>
      </c>
    </row>
    <row r="81" spans="1:11" ht="42" customHeight="1">
      <c r="A81" s="139" t="s">
        <v>160</v>
      </c>
      <c r="B81" s="136">
        <v>250</v>
      </c>
      <c r="C81" s="134" t="s">
        <v>39</v>
      </c>
      <c r="D81" s="134" t="s">
        <v>43</v>
      </c>
      <c r="E81" s="134" t="s">
        <v>200</v>
      </c>
      <c r="F81" s="134" t="s">
        <v>269</v>
      </c>
      <c r="G81" s="134">
        <v>244</v>
      </c>
      <c r="H81" s="134">
        <v>200</v>
      </c>
      <c r="I81" s="253">
        <f>I83+I82</f>
        <v>4496</v>
      </c>
      <c r="J81" s="253">
        <f>J83+J82</f>
        <v>5996</v>
      </c>
      <c r="K81" s="253">
        <f>K83+K82</f>
        <v>3884</v>
      </c>
    </row>
    <row r="82" spans="1:11" ht="15" customHeight="1" hidden="1">
      <c r="A82" s="141" t="s">
        <v>15</v>
      </c>
      <c r="B82" s="263">
        <v>250</v>
      </c>
      <c r="C82" s="264" t="s">
        <v>39</v>
      </c>
      <c r="D82" s="264" t="s">
        <v>43</v>
      </c>
      <c r="E82" s="264" t="s">
        <v>200</v>
      </c>
      <c r="F82" s="264" t="s">
        <v>269</v>
      </c>
      <c r="G82" s="264">
        <v>222</v>
      </c>
      <c r="H82" s="264"/>
      <c r="I82" s="253">
        <v>1000</v>
      </c>
      <c r="J82" s="253">
        <v>1000</v>
      </c>
      <c r="K82" s="253">
        <v>0</v>
      </c>
    </row>
    <row r="83" spans="1:11" ht="29.25" customHeight="1" hidden="1">
      <c r="A83" s="141" t="s">
        <v>22</v>
      </c>
      <c r="B83" s="263">
        <v>250</v>
      </c>
      <c r="C83" s="264" t="s">
        <v>39</v>
      </c>
      <c r="D83" s="264" t="s">
        <v>43</v>
      </c>
      <c r="E83" s="264" t="s">
        <v>200</v>
      </c>
      <c r="F83" s="263" t="s">
        <v>269</v>
      </c>
      <c r="G83" s="264">
        <v>340</v>
      </c>
      <c r="H83" s="264">
        <v>340</v>
      </c>
      <c r="I83" s="253">
        <v>3496</v>
      </c>
      <c r="J83" s="253">
        <v>4996</v>
      </c>
      <c r="K83" s="253">
        <v>3884</v>
      </c>
    </row>
    <row r="84" spans="1:11" ht="41.25" customHeight="1">
      <c r="A84" s="133" t="s">
        <v>315</v>
      </c>
      <c r="B84" s="136">
        <v>250</v>
      </c>
      <c r="C84" s="136" t="s">
        <v>43</v>
      </c>
      <c r="D84" s="136" t="s">
        <v>482</v>
      </c>
      <c r="E84" s="136"/>
      <c r="F84" s="136" t="s">
        <v>521</v>
      </c>
      <c r="G84" s="136" t="s">
        <v>4</v>
      </c>
      <c r="H84" s="136"/>
      <c r="I84" s="254">
        <f>I85</f>
        <v>55000</v>
      </c>
      <c r="J84" s="254">
        <f>J85</f>
        <v>20000</v>
      </c>
      <c r="K84" s="252">
        <f>K85</f>
        <v>10000</v>
      </c>
    </row>
    <row r="85" spans="1:11" ht="13.5" customHeight="1">
      <c r="A85" s="146" t="s">
        <v>260</v>
      </c>
      <c r="B85" s="136">
        <v>250</v>
      </c>
      <c r="C85" s="147" t="s">
        <v>177</v>
      </c>
      <c r="D85" s="147" t="s">
        <v>123</v>
      </c>
      <c r="E85" s="148"/>
      <c r="F85" s="149" t="s">
        <v>488</v>
      </c>
      <c r="G85" s="140" t="s">
        <v>4</v>
      </c>
      <c r="H85" s="140"/>
      <c r="I85" s="254">
        <f>I86+I93+I101</f>
        <v>55000</v>
      </c>
      <c r="J85" s="253">
        <f>J86+J93+J101</f>
        <v>20000</v>
      </c>
      <c r="K85" s="253">
        <f>K86+K93</f>
        <v>10000</v>
      </c>
    </row>
    <row r="86" spans="1:11" ht="58.5" customHeight="1">
      <c r="A86" s="314" t="s">
        <v>398</v>
      </c>
      <c r="B86" s="150">
        <v>250</v>
      </c>
      <c r="C86" s="169" t="s">
        <v>177</v>
      </c>
      <c r="D86" s="169" t="s">
        <v>41</v>
      </c>
      <c r="E86" s="315" t="s">
        <v>304</v>
      </c>
      <c r="F86" s="150" t="s">
        <v>489</v>
      </c>
      <c r="G86" s="169" t="s">
        <v>4</v>
      </c>
      <c r="H86" s="169"/>
      <c r="I86" s="259">
        <f>I88</f>
        <v>50000</v>
      </c>
      <c r="J86" s="259">
        <f>J88</f>
        <v>10000</v>
      </c>
      <c r="K86" s="259">
        <f>K88</f>
        <v>10000</v>
      </c>
    </row>
    <row r="87" spans="1:11" ht="31.5" customHeight="1">
      <c r="A87" s="314" t="s">
        <v>464</v>
      </c>
      <c r="B87" s="150">
        <v>250</v>
      </c>
      <c r="C87" s="169" t="s">
        <v>177</v>
      </c>
      <c r="D87" s="169" t="s">
        <v>465</v>
      </c>
      <c r="E87" s="315"/>
      <c r="F87" s="150" t="s">
        <v>463</v>
      </c>
      <c r="G87" s="169" t="s">
        <v>4</v>
      </c>
      <c r="H87" s="169"/>
      <c r="I87" s="259">
        <f>I88</f>
        <v>50000</v>
      </c>
      <c r="J87" s="259">
        <f>J88</f>
        <v>10000</v>
      </c>
      <c r="K87" s="259">
        <f>K88</f>
        <v>10000</v>
      </c>
    </row>
    <row r="88" spans="1:11" ht="53.25" customHeight="1">
      <c r="A88" s="139" t="s">
        <v>158</v>
      </c>
      <c r="B88" s="136">
        <v>250</v>
      </c>
      <c r="C88" s="140" t="s">
        <v>177</v>
      </c>
      <c r="D88" s="147" t="s">
        <v>41</v>
      </c>
      <c r="E88" s="140" t="s">
        <v>191</v>
      </c>
      <c r="F88" s="158" t="s">
        <v>463</v>
      </c>
      <c r="G88" s="136">
        <v>200</v>
      </c>
      <c r="H88" s="134">
        <v>0</v>
      </c>
      <c r="I88" s="253">
        <f aca="true" t="shared" si="5" ref="I88:K89">I89</f>
        <v>50000</v>
      </c>
      <c r="J88" s="253">
        <f t="shared" si="5"/>
        <v>10000</v>
      </c>
      <c r="K88" s="253">
        <f t="shared" si="5"/>
        <v>10000</v>
      </c>
    </row>
    <row r="89" spans="1:11" ht="35.25" customHeight="1">
      <c r="A89" s="139" t="s">
        <v>256</v>
      </c>
      <c r="B89" s="136">
        <v>250</v>
      </c>
      <c r="C89" s="140" t="s">
        <v>177</v>
      </c>
      <c r="D89" s="147" t="s">
        <v>41</v>
      </c>
      <c r="E89" s="140" t="s">
        <v>191</v>
      </c>
      <c r="F89" s="135" t="str">
        <f>F88</f>
        <v>79 5 01 90140</v>
      </c>
      <c r="G89" s="134">
        <v>240</v>
      </c>
      <c r="H89" s="134"/>
      <c r="I89" s="255">
        <f t="shared" si="5"/>
        <v>50000</v>
      </c>
      <c r="J89" s="255">
        <f t="shared" si="5"/>
        <v>10000</v>
      </c>
      <c r="K89" s="255">
        <f t="shared" si="5"/>
        <v>10000</v>
      </c>
    </row>
    <row r="90" spans="1:11" ht="42" customHeight="1">
      <c r="A90" s="139" t="s">
        <v>160</v>
      </c>
      <c r="B90" s="136">
        <v>250</v>
      </c>
      <c r="C90" s="140" t="s">
        <v>177</v>
      </c>
      <c r="D90" s="147" t="s">
        <v>41</v>
      </c>
      <c r="E90" s="140" t="s">
        <v>191</v>
      </c>
      <c r="F90" s="135" t="str">
        <f>F88</f>
        <v>79 5 01 90140</v>
      </c>
      <c r="G90" s="134">
        <v>244</v>
      </c>
      <c r="H90" s="134"/>
      <c r="I90" s="253">
        <f>I92+I91</f>
        <v>50000</v>
      </c>
      <c r="J90" s="253">
        <f>J91+J92</f>
        <v>10000</v>
      </c>
      <c r="K90" s="253">
        <f>K92+K91</f>
        <v>10000</v>
      </c>
    </row>
    <row r="91" spans="1:11" ht="13.5" customHeight="1" hidden="1">
      <c r="A91" s="141" t="s">
        <v>161</v>
      </c>
      <c r="B91" s="263">
        <v>250</v>
      </c>
      <c r="C91" s="268" t="s">
        <v>177</v>
      </c>
      <c r="D91" s="269" t="s">
        <v>41</v>
      </c>
      <c r="E91" s="268" t="s">
        <v>191</v>
      </c>
      <c r="F91" s="270" t="s">
        <v>324</v>
      </c>
      <c r="G91" s="264">
        <v>226</v>
      </c>
      <c r="H91" s="134">
        <v>290</v>
      </c>
      <c r="I91" s="253">
        <v>50000</v>
      </c>
      <c r="J91" s="255">
        <v>0</v>
      </c>
      <c r="K91" s="255">
        <v>0</v>
      </c>
    </row>
    <row r="92" spans="1:11" ht="30" customHeight="1" hidden="1">
      <c r="A92" s="141" t="s">
        <v>22</v>
      </c>
      <c r="B92" s="263">
        <v>250</v>
      </c>
      <c r="C92" s="268" t="s">
        <v>177</v>
      </c>
      <c r="D92" s="269" t="s">
        <v>41</v>
      </c>
      <c r="E92" s="268" t="s">
        <v>191</v>
      </c>
      <c r="F92" s="270" t="s">
        <v>324</v>
      </c>
      <c r="G92" s="264">
        <v>340</v>
      </c>
      <c r="H92" s="134">
        <v>290</v>
      </c>
      <c r="I92" s="253">
        <v>0</v>
      </c>
      <c r="J92" s="255">
        <v>10000</v>
      </c>
      <c r="K92" s="255">
        <v>10000</v>
      </c>
    </row>
    <row r="93" spans="1:11" ht="81" customHeight="1" hidden="1">
      <c r="A93" s="167" t="s">
        <v>325</v>
      </c>
      <c r="B93" s="165">
        <v>250</v>
      </c>
      <c r="C93" s="168" t="s">
        <v>177</v>
      </c>
      <c r="D93" s="168" t="s">
        <v>190</v>
      </c>
      <c r="E93" s="169" t="s">
        <v>191</v>
      </c>
      <c r="F93" s="150" t="s">
        <v>326</v>
      </c>
      <c r="G93" s="169"/>
      <c r="H93" s="169" t="s">
        <v>125</v>
      </c>
      <c r="I93" s="259">
        <f>I95</f>
        <v>0</v>
      </c>
      <c r="J93" s="259">
        <f>J95</f>
        <v>0</v>
      </c>
      <c r="K93" s="259">
        <f>K95</f>
        <v>0</v>
      </c>
    </row>
    <row r="94" spans="1:11" ht="106.5" customHeight="1" hidden="1">
      <c r="A94" s="139" t="s">
        <v>226</v>
      </c>
      <c r="B94" s="136">
        <v>250</v>
      </c>
      <c r="C94" s="140" t="s">
        <v>177</v>
      </c>
      <c r="D94" s="140" t="s">
        <v>190</v>
      </c>
      <c r="E94" s="140" t="s">
        <v>191</v>
      </c>
      <c r="F94" s="135" t="s">
        <v>326</v>
      </c>
      <c r="G94" s="140"/>
      <c r="H94" s="140" t="s">
        <v>125</v>
      </c>
      <c r="I94" s="253">
        <f>I95</f>
        <v>0</v>
      </c>
      <c r="J94" s="253">
        <f>J95</f>
        <v>0</v>
      </c>
      <c r="K94" s="253">
        <f>K95</f>
        <v>0</v>
      </c>
    </row>
    <row r="95" spans="1:11" ht="60.75" customHeight="1" hidden="1">
      <c r="A95" s="139" t="s">
        <v>158</v>
      </c>
      <c r="B95" s="136">
        <v>250</v>
      </c>
      <c r="C95" s="140" t="s">
        <v>177</v>
      </c>
      <c r="D95" s="140" t="s">
        <v>190</v>
      </c>
      <c r="E95" s="140" t="s">
        <v>191</v>
      </c>
      <c r="F95" s="135" t="s">
        <v>326</v>
      </c>
      <c r="G95" s="134">
        <v>244</v>
      </c>
      <c r="H95" s="134">
        <v>0</v>
      </c>
      <c r="I95" s="253">
        <f>I96</f>
        <v>0</v>
      </c>
      <c r="J95" s="253">
        <f>J96</f>
        <v>0</v>
      </c>
      <c r="K95" s="253">
        <f>K98</f>
        <v>0</v>
      </c>
    </row>
    <row r="96" spans="1:11" ht="35.25" customHeight="1" hidden="1">
      <c r="A96" s="139" t="s">
        <v>256</v>
      </c>
      <c r="B96" s="136">
        <v>250</v>
      </c>
      <c r="C96" s="140" t="s">
        <v>177</v>
      </c>
      <c r="D96" s="140" t="s">
        <v>190</v>
      </c>
      <c r="E96" s="140" t="s">
        <v>191</v>
      </c>
      <c r="F96" s="135" t="s">
        <v>326</v>
      </c>
      <c r="G96" s="134">
        <v>244</v>
      </c>
      <c r="H96" s="134"/>
      <c r="I96" s="255">
        <f aca="true" t="shared" si="6" ref="I96:K97">I97</f>
        <v>0</v>
      </c>
      <c r="J96" s="255">
        <f t="shared" si="6"/>
        <v>0</v>
      </c>
      <c r="K96" s="255">
        <f t="shared" si="6"/>
        <v>0</v>
      </c>
    </row>
    <row r="97" spans="1:11" ht="43.5" customHeight="1" hidden="1">
      <c r="A97" s="139" t="s">
        <v>160</v>
      </c>
      <c r="B97" s="136">
        <v>250</v>
      </c>
      <c r="C97" s="140" t="s">
        <v>177</v>
      </c>
      <c r="D97" s="140" t="s">
        <v>190</v>
      </c>
      <c r="E97" s="140" t="s">
        <v>191</v>
      </c>
      <c r="F97" s="135" t="s">
        <v>326</v>
      </c>
      <c r="G97" s="134">
        <v>244</v>
      </c>
      <c r="H97" s="134"/>
      <c r="I97" s="253">
        <f>I98+I99+I100</f>
        <v>0</v>
      </c>
      <c r="J97" s="253">
        <v>0</v>
      </c>
      <c r="K97" s="253">
        <f t="shared" si="6"/>
        <v>0</v>
      </c>
    </row>
    <row r="98" spans="1:11" ht="13.5" customHeight="1" hidden="1">
      <c r="A98" s="141" t="s">
        <v>19</v>
      </c>
      <c r="B98" s="136">
        <v>250</v>
      </c>
      <c r="C98" s="140" t="s">
        <v>177</v>
      </c>
      <c r="D98" s="140" t="s">
        <v>190</v>
      </c>
      <c r="E98" s="140" t="s">
        <v>191</v>
      </c>
      <c r="F98" s="135" t="s">
        <v>326</v>
      </c>
      <c r="G98" s="134">
        <v>244</v>
      </c>
      <c r="H98" s="134">
        <v>290</v>
      </c>
      <c r="I98" s="253">
        <v>0</v>
      </c>
      <c r="J98" s="253">
        <v>0</v>
      </c>
      <c r="K98" s="253">
        <v>0</v>
      </c>
    </row>
    <row r="99" spans="1:11" ht="13.5" customHeight="1" hidden="1">
      <c r="A99" s="141" t="s">
        <v>161</v>
      </c>
      <c r="B99" s="136">
        <v>250</v>
      </c>
      <c r="C99" s="140" t="s">
        <v>177</v>
      </c>
      <c r="D99" s="140" t="s">
        <v>190</v>
      </c>
      <c r="E99" s="140" t="s">
        <v>191</v>
      </c>
      <c r="F99" s="135" t="s">
        <v>326</v>
      </c>
      <c r="G99" s="134">
        <v>244</v>
      </c>
      <c r="H99" s="134"/>
      <c r="I99" s="253">
        <v>0</v>
      </c>
      <c r="J99" s="255">
        <v>0</v>
      </c>
      <c r="K99" s="255">
        <v>0</v>
      </c>
    </row>
    <row r="100" spans="1:11" ht="39" customHeight="1" hidden="1">
      <c r="A100" s="141" t="s">
        <v>22</v>
      </c>
      <c r="B100" s="136">
        <v>250</v>
      </c>
      <c r="C100" s="140" t="s">
        <v>177</v>
      </c>
      <c r="D100" s="140" t="s">
        <v>190</v>
      </c>
      <c r="E100" s="140" t="s">
        <v>191</v>
      </c>
      <c r="F100" s="135" t="s">
        <v>326</v>
      </c>
      <c r="G100" s="134">
        <v>244</v>
      </c>
      <c r="H100" s="134"/>
      <c r="I100" s="253">
        <v>0</v>
      </c>
      <c r="J100" s="255">
        <v>0</v>
      </c>
      <c r="K100" s="255">
        <v>0</v>
      </c>
    </row>
    <row r="101" spans="1:11" ht="75" customHeight="1">
      <c r="A101" s="313" t="s">
        <v>327</v>
      </c>
      <c r="B101" s="150">
        <v>250</v>
      </c>
      <c r="C101" s="168" t="s">
        <v>177</v>
      </c>
      <c r="D101" s="168" t="s">
        <v>190</v>
      </c>
      <c r="E101" s="169" t="s">
        <v>191</v>
      </c>
      <c r="F101" s="150" t="s">
        <v>490</v>
      </c>
      <c r="G101" s="150" t="s">
        <v>4</v>
      </c>
      <c r="H101" s="150"/>
      <c r="I101" s="259">
        <f aca="true" t="shared" si="7" ref="I101:K104">I102</f>
        <v>5000</v>
      </c>
      <c r="J101" s="259">
        <f t="shared" si="7"/>
        <v>10000</v>
      </c>
      <c r="K101" s="259">
        <f t="shared" si="7"/>
        <v>0</v>
      </c>
    </row>
    <row r="102" spans="1:11" ht="27">
      <c r="A102" s="314" t="s">
        <v>464</v>
      </c>
      <c r="B102" s="136">
        <v>250</v>
      </c>
      <c r="C102" s="140" t="s">
        <v>177</v>
      </c>
      <c r="D102" s="140" t="s">
        <v>190</v>
      </c>
      <c r="E102" s="140" t="s">
        <v>191</v>
      </c>
      <c r="F102" s="135" t="s">
        <v>491</v>
      </c>
      <c r="G102" s="134" t="s">
        <v>4</v>
      </c>
      <c r="H102" s="134"/>
      <c r="I102" s="253">
        <f t="shared" si="7"/>
        <v>5000</v>
      </c>
      <c r="J102" s="253">
        <f t="shared" si="7"/>
        <v>10000</v>
      </c>
      <c r="K102" s="253">
        <f t="shared" si="7"/>
        <v>0</v>
      </c>
    </row>
    <row r="103" spans="1:11" ht="39" customHeight="1">
      <c r="A103" s="139" t="s">
        <v>158</v>
      </c>
      <c r="B103" s="136">
        <v>250</v>
      </c>
      <c r="C103" s="140" t="s">
        <v>177</v>
      </c>
      <c r="D103" s="140" t="s">
        <v>190</v>
      </c>
      <c r="E103" s="140" t="s">
        <v>191</v>
      </c>
      <c r="F103" s="135" t="str">
        <f>F102</f>
        <v>79 5 02 90140</v>
      </c>
      <c r="G103" s="134">
        <v>200</v>
      </c>
      <c r="H103" s="134"/>
      <c r="I103" s="253">
        <f t="shared" si="7"/>
        <v>5000</v>
      </c>
      <c r="J103" s="253">
        <f t="shared" si="7"/>
        <v>10000</v>
      </c>
      <c r="K103" s="253">
        <f t="shared" si="7"/>
        <v>0</v>
      </c>
    </row>
    <row r="104" spans="1:11" ht="39" customHeight="1">
      <c r="A104" s="139" t="s">
        <v>256</v>
      </c>
      <c r="B104" s="136">
        <v>250</v>
      </c>
      <c r="C104" s="140" t="s">
        <v>177</v>
      </c>
      <c r="D104" s="140" t="s">
        <v>190</v>
      </c>
      <c r="E104" s="140" t="s">
        <v>191</v>
      </c>
      <c r="F104" s="135" t="str">
        <f>F103</f>
        <v>79 5 02 90140</v>
      </c>
      <c r="G104" s="134">
        <v>240</v>
      </c>
      <c r="H104" s="134"/>
      <c r="I104" s="253">
        <f t="shared" si="7"/>
        <v>5000</v>
      </c>
      <c r="J104" s="253">
        <f t="shared" si="7"/>
        <v>10000</v>
      </c>
      <c r="K104" s="253">
        <f t="shared" si="7"/>
        <v>0</v>
      </c>
    </row>
    <row r="105" spans="1:11" ht="39" customHeight="1">
      <c r="A105" s="139" t="s">
        <v>160</v>
      </c>
      <c r="B105" s="136">
        <v>250</v>
      </c>
      <c r="C105" s="140" t="s">
        <v>177</v>
      </c>
      <c r="D105" s="140" t="s">
        <v>190</v>
      </c>
      <c r="E105" s="140" t="s">
        <v>191</v>
      </c>
      <c r="F105" s="135" t="str">
        <f>F104</f>
        <v>79 5 02 90140</v>
      </c>
      <c r="G105" s="134">
        <v>244</v>
      </c>
      <c r="H105" s="134"/>
      <c r="I105" s="253">
        <f>I106+I107</f>
        <v>5000</v>
      </c>
      <c r="J105" s="253">
        <f>J106+J107</f>
        <v>10000</v>
      </c>
      <c r="K105" s="253">
        <f>K106+K107</f>
        <v>0</v>
      </c>
    </row>
    <row r="106" spans="1:11" ht="21.75" customHeight="1" hidden="1">
      <c r="A106" s="141" t="s">
        <v>161</v>
      </c>
      <c r="B106" s="263">
        <v>250</v>
      </c>
      <c r="C106" s="268" t="s">
        <v>177</v>
      </c>
      <c r="D106" s="268" t="s">
        <v>190</v>
      </c>
      <c r="E106" s="268" t="s">
        <v>191</v>
      </c>
      <c r="F106" s="270" t="s">
        <v>328</v>
      </c>
      <c r="G106" s="264">
        <v>226</v>
      </c>
      <c r="H106" s="134"/>
      <c r="I106" s="253">
        <v>0</v>
      </c>
      <c r="J106" s="255">
        <v>5000</v>
      </c>
      <c r="K106" s="266">
        <v>0</v>
      </c>
    </row>
    <row r="107" spans="1:12" ht="29.25" customHeight="1" hidden="1">
      <c r="A107" s="141" t="s">
        <v>22</v>
      </c>
      <c r="B107" s="263">
        <v>250</v>
      </c>
      <c r="C107" s="268" t="s">
        <v>177</v>
      </c>
      <c r="D107" s="268" t="s">
        <v>190</v>
      </c>
      <c r="E107" s="268" t="s">
        <v>191</v>
      </c>
      <c r="F107" s="270" t="s">
        <v>328</v>
      </c>
      <c r="G107" s="264">
        <v>340</v>
      </c>
      <c r="H107" s="134"/>
      <c r="I107" s="253">
        <v>5000</v>
      </c>
      <c r="J107" s="255">
        <v>5000</v>
      </c>
      <c r="K107" s="266">
        <v>0</v>
      </c>
      <c r="L107" s="271"/>
    </row>
    <row r="108" spans="1:13" ht="12.75" customHeight="1">
      <c r="A108" s="164" t="s">
        <v>246</v>
      </c>
      <c r="B108" s="165">
        <v>250</v>
      </c>
      <c r="C108" s="166" t="s">
        <v>170</v>
      </c>
      <c r="D108" s="166" t="s">
        <v>123</v>
      </c>
      <c r="E108" s="166" t="s">
        <v>124</v>
      </c>
      <c r="F108" s="165" t="s">
        <v>521</v>
      </c>
      <c r="G108" s="166" t="s">
        <v>4</v>
      </c>
      <c r="H108" s="166" t="s">
        <v>125</v>
      </c>
      <c r="I108" s="256">
        <f>I109+I121+I132+I140</f>
        <v>2395555.2199999997</v>
      </c>
      <c r="J108" s="256">
        <f>J109+J121+J132</f>
        <v>2258400</v>
      </c>
      <c r="K108" s="256">
        <f>K109+K121+K132</f>
        <v>2397700</v>
      </c>
      <c r="M108" s="40"/>
    </row>
    <row r="109" spans="1:13" ht="16.5" customHeight="1">
      <c r="A109" s="164" t="s">
        <v>169</v>
      </c>
      <c r="B109" s="150">
        <v>250</v>
      </c>
      <c r="C109" s="169" t="s">
        <v>170</v>
      </c>
      <c r="D109" s="169" t="s">
        <v>126</v>
      </c>
      <c r="E109" s="169" t="s">
        <v>124</v>
      </c>
      <c r="F109" s="150" t="str">
        <f>F108</f>
        <v>00 0 00 00000</v>
      </c>
      <c r="G109" s="169" t="s">
        <v>4</v>
      </c>
      <c r="H109" s="169" t="s">
        <v>125</v>
      </c>
      <c r="I109" s="259">
        <f>I111</f>
        <v>47800</v>
      </c>
      <c r="J109" s="259">
        <f>J111</f>
        <v>47800</v>
      </c>
      <c r="K109" s="259">
        <f>K111</f>
        <v>47800</v>
      </c>
      <c r="M109" s="40"/>
    </row>
    <row r="110" spans="1:13" ht="39.75" customHeight="1">
      <c r="A110" s="164" t="s">
        <v>467</v>
      </c>
      <c r="B110" s="150">
        <v>250</v>
      </c>
      <c r="C110" s="169" t="s">
        <v>170</v>
      </c>
      <c r="D110" s="169" t="s">
        <v>126</v>
      </c>
      <c r="E110" s="169"/>
      <c r="F110" s="150" t="s">
        <v>466</v>
      </c>
      <c r="G110" s="169" t="s">
        <v>4</v>
      </c>
      <c r="H110" s="169"/>
      <c r="I110" s="259">
        <f>I111</f>
        <v>47800</v>
      </c>
      <c r="J110" s="259">
        <f>J111</f>
        <v>47800</v>
      </c>
      <c r="K110" s="259">
        <f>K111</f>
        <v>47800</v>
      </c>
      <c r="M110" s="40"/>
    </row>
    <row r="111" spans="1:11" ht="57.75" customHeight="1">
      <c r="A111" s="133" t="s">
        <v>181</v>
      </c>
      <c r="B111" s="136">
        <v>250</v>
      </c>
      <c r="C111" s="142" t="s">
        <v>170</v>
      </c>
      <c r="D111" s="142" t="s">
        <v>126</v>
      </c>
      <c r="E111" s="142" t="s">
        <v>124</v>
      </c>
      <c r="F111" s="136" t="s">
        <v>457</v>
      </c>
      <c r="G111" s="142" t="s">
        <v>4</v>
      </c>
      <c r="H111" s="142" t="s">
        <v>125</v>
      </c>
      <c r="I111" s="257">
        <f>I112+I117</f>
        <v>47800</v>
      </c>
      <c r="J111" s="257">
        <f>J112+J117</f>
        <v>47800</v>
      </c>
      <c r="K111" s="257">
        <f>K112+K117</f>
        <v>47800</v>
      </c>
    </row>
    <row r="112" spans="1:11" ht="119.25" customHeight="1">
      <c r="A112" s="139" t="s">
        <v>254</v>
      </c>
      <c r="B112" s="136">
        <v>250</v>
      </c>
      <c r="C112" s="140" t="s">
        <v>170</v>
      </c>
      <c r="D112" s="140" t="s">
        <v>126</v>
      </c>
      <c r="E112" s="140" t="s">
        <v>124</v>
      </c>
      <c r="F112" s="134" t="s">
        <v>457</v>
      </c>
      <c r="G112" s="142" t="s">
        <v>4</v>
      </c>
      <c r="H112" s="142"/>
      <c r="I112" s="258">
        <f aca="true" t="shared" si="8" ref="I112:K113">I113</f>
        <v>45570</v>
      </c>
      <c r="J112" s="258">
        <f t="shared" si="8"/>
        <v>45570</v>
      </c>
      <c r="K112" s="258">
        <f t="shared" si="8"/>
        <v>45570</v>
      </c>
    </row>
    <row r="113" spans="1:11" ht="45" customHeight="1">
      <c r="A113" s="139" t="s">
        <v>255</v>
      </c>
      <c r="B113" s="136">
        <v>250</v>
      </c>
      <c r="C113" s="140" t="s">
        <v>170</v>
      </c>
      <c r="D113" s="140" t="s">
        <v>126</v>
      </c>
      <c r="E113" s="148" t="s">
        <v>179</v>
      </c>
      <c r="F113" s="134" t="s">
        <v>457</v>
      </c>
      <c r="G113" s="136">
        <v>100</v>
      </c>
      <c r="H113" s="142" t="s">
        <v>125</v>
      </c>
      <c r="I113" s="258">
        <f t="shared" si="8"/>
        <v>45570</v>
      </c>
      <c r="J113" s="258">
        <f t="shared" si="8"/>
        <v>45570</v>
      </c>
      <c r="K113" s="258">
        <f t="shared" si="8"/>
        <v>45570</v>
      </c>
    </row>
    <row r="114" spans="1:11" ht="36" customHeight="1">
      <c r="A114" s="139" t="s">
        <v>166</v>
      </c>
      <c r="B114" s="136">
        <v>250</v>
      </c>
      <c r="C114" s="140" t="s">
        <v>170</v>
      </c>
      <c r="D114" s="140" t="s">
        <v>126</v>
      </c>
      <c r="E114" s="148" t="s">
        <v>179</v>
      </c>
      <c r="F114" s="134" t="s">
        <v>457</v>
      </c>
      <c r="G114" s="134">
        <v>120</v>
      </c>
      <c r="H114" s="134">
        <v>210</v>
      </c>
      <c r="I114" s="258">
        <f>I115+I116</f>
        <v>45570</v>
      </c>
      <c r="J114" s="258">
        <f>J115+J116</f>
        <v>45570</v>
      </c>
      <c r="K114" s="258">
        <f>K115+K116</f>
        <v>45570</v>
      </c>
    </row>
    <row r="115" spans="1:11" ht="10.5" customHeight="1" hidden="1">
      <c r="A115" s="141" t="s">
        <v>10</v>
      </c>
      <c r="B115" s="263">
        <v>250</v>
      </c>
      <c r="C115" s="268" t="s">
        <v>170</v>
      </c>
      <c r="D115" s="268" t="s">
        <v>126</v>
      </c>
      <c r="E115" s="264" t="s">
        <v>179</v>
      </c>
      <c r="F115" s="264" t="s">
        <v>270</v>
      </c>
      <c r="G115" s="264">
        <v>121</v>
      </c>
      <c r="H115" s="134">
        <v>211</v>
      </c>
      <c r="I115" s="258">
        <v>35000</v>
      </c>
      <c r="J115" s="255">
        <f>35000</f>
        <v>35000</v>
      </c>
      <c r="K115" s="255">
        <v>35000</v>
      </c>
    </row>
    <row r="116" spans="1:11" ht="11.25" customHeight="1" hidden="1">
      <c r="A116" s="141" t="s">
        <v>12</v>
      </c>
      <c r="B116" s="263">
        <v>250</v>
      </c>
      <c r="C116" s="268" t="s">
        <v>170</v>
      </c>
      <c r="D116" s="268" t="s">
        <v>126</v>
      </c>
      <c r="E116" s="264" t="s">
        <v>179</v>
      </c>
      <c r="F116" s="264" t="s">
        <v>270</v>
      </c>
      <c r="G116" s="264">
        <v>129</v>
      </c>
      <c r="H116" s="134">
        <v>213</v>
      </c>
      <c r="I116" s="258">
        <v>10570</v>
      </c>
      <c r="J116" s="255">
        <v>10570</v>
      </c>
      <c r="K116" s="255">
        <v>10570</v>
      </c>
    </row>
    <row r="117" spans="1:11" ht="42" customHeight="1">
      <c r="A117" s="139" t="s">
        <v>153</v>
      </c>
      <c r="B117" s="136">
        <v>250</v>
      </c>
      <c r="C117" s="140" t="s">
        <v>170</v>
      </c>
      <c r="D117" s="140" t="s">
        <v>126</v>
      </c>
      <c r="E117" s="148" t="s">
        <v>179</v>
      </c>
      <c r="F117" s="134" t="s">
        <v>457</v>
      </c>
      <c r="G117" s="136">
        <v>200</v>
      </c>
      <c r="H117" s="134"/>
      <c r="I117" s="258">
        <f aca="true" t="shared" si="9" ref="I117:K118">I118</f>
        <v>2230</v>
      </c>
      <c r="J117" s="258">
        <f t="shared" si="9"/>
        <v>2230</v>
      </c>
      <c r="K117" s="258">
        <f t="shared" si="9"/>
        <v>2230</v>
      </c>
    </row>
    <row r="118" spans="1:11" ht="33.75" customHeight="1">
      <c r="A118" s="139" t="s">
        <v>256</v>
      </c>
      <c r="B118" s="136">
        <v>250</v>
      </c>
      <c r="C118" s="140" t="s">
        <v>170</v>
      </c>
      <c r="D118" s="140" t="s">
        <v>126</v>
      </c>
      <c r="E118" s="148" t="s">
        <v>179</v>
      </c>
      <c r="F118" s="134" t="s">
        <v>457</v>
      </c>
      <c r="G118" s="134">
        <v>240</v>
      </c>
      <c r="H118" s="134"/>
      <c r="I118" s="258">
        <f t="shared" si="9"/>
        <v>2230</v>
      </c>
      <c r="J118" s="258">
        <f t="shared" si="9"/>
        <v>2230</v>
      </c>
      <c r="K118" s="258">
        <f t="shared" si="9"/>
        <v>2230</v>
      </c>
    </row>
    <row r="119" spans="1:11" ht="25.5" customHeight="1">
      <c r="A119" s="139" t="s">
        <v>160</v>
      </c>
      <c r="B119" s="136">
        <v>250</v>
      </c>
      <c r="C119" s="140" t="s">
        <v>170</v>
      </c>
      <c r="D119" s="140" t="s">
        <v>126</v>
      </c>
      <c r="E119" s="148" t="s">
        <v>179</v>
      </c>
      <c r="F119" s="134" t="s">
        <v>457</v>
      </c>
      <c r="G119" s="140" t="s">
        <v>180</v>
      </c>
      <c r="H119" s="140" t="s">
        <v>125</v>
      </c>
      <c r="I119" s="258">
        <f>I120</f>
        <v>2230</v>
      </c>
      <c r="J119" s="258">
        <f>J120</f>
        <v>2230</v>
      </c>
      <c r="K119" s="258">
        <f>K120</f>
        <v>2230</v>
      </c>
    </row>
    <row r="120" spans="1:11" ht="25.5" customHeight="1" hidden="1">
      <c r="A120" s="141" t="s">
        <v>22</v>
      </c>
      <c r="B120" s="263">
        <v>250</v>
      </c>
      <c r="C120" s="268" t="s">
        <v>170</v>
      </c>
      <c r="D120" s="268" t="s">
        <v>126</v>
      </c>
      <c r="E120" s="264" t="s">
        <v>179</v>
      </c>
      <c r="F120" s="263"/>
      <c r="G120" s="268" t="s">
        <v>159</v>
      </c>
      <c r="H120" s="140" t="s">
        <v>159</v>
      </c>
      <c r="I120" s="258">
        <v>2230</v>
      </c>
      <c r="J120" s="255">
        <v>2230</v>
      </c>
      <c r="K120" s="255">
        <v>2230</v>
      </c>
    </row>
    <row r="121" spans="1:11" ht="25.5" customHeight="1">
      <c r="A121" s="151" t="s">
        <v>244</v>
      </c>
      <c r="B121" s="136">
        <v>250</v>
      </c>
      <c r="C121" s="142" t="s">
        <v>170</v>
      </c>
      <c r="D121" s="142" t="s">
        <v>178</v>
      </c>
      <c r="E121" s="136" t="s">
        <v>124</v>
      </c>
      <c r="F121" s="136" t="s">
        <v>521</v>
      </c>
      <c r="G121" s="142" t="s">
        <v>4</v>
      </c>
      <c r="H121" s="142" t="s">
        <v>125</v>
      </c>
      <c r="I121" s="254">
        <f>I122</f>
        <v>2197755.2199999997</v>
      </c>
      <c r="J121" s="254">
        <f>J122</f>
        <v>2160600</v>
      </c>
      <c r="K121" s="254">
        <f>K122</f>
        <v>2299900</v>
      </c>
    </row>
    <row r="122" spans="1:11" ht="27">
      <c r="A122" s="152" t="s">
        <v>483</v>
      </c>
      <c r="B122" s="136">
        <v>250</v>
      </c>
      <c r="C122" s="140" t="s">
        <v>170</v>
      </c>
      <c r="D122" s="140" t="s">
        <v>178</v>
      </c>
      <c r="E122" s="134" t="s">
        <v>124</v>
      </c>
      <c r="F122" s="134" t="s">
        <v>492</v>
      </c>
      <c r="G122" s="140" t="s">
        <v>4</v>
      </c>
      <c r="H122" s="140" t="s">
        <v>125</v>
      </c>
      <c r="I122" s="253">
        <f>I124</f>
        <v>2197755.2199999997</v>
      </c>
      <c r="J122" s="253">
        <f>J124</f>
        <v>2160600</v>
      </c>
      <c r="K122" s="253">
        <f>K124</f>
        <v>2299900</v>
      </c>
    </row>
    <row r="123" spans="1:11" ht="13.5">
      <c r="A123" s="152" t="s">
        <v>323</v>
      </c>
      <c r="B123" s="136">
        <v>250</v>
      </c>
      <c r="C123" s="140" t="s">
        <v>170</v>
      </c>
      <c r="D123" s="140" t="s">
        <v>178</v>
      </c>
      <c r="E123" s="134"/>
      <c r="F123" s="134" t="s">
        <v>468</v>
      </c>
      <c r="G123" s="140" t="s">
        <v>4</v>
      </c>
      <c r="H123" s="140"/>
      <c r="I123" s="253">
        <f>I124</f>
        <v>2197755.2199999997</v>
      </c>
      <c r="J123" s="253">
        <f>J124</f>
        <v>2160600</v>
      </c>
      <c r="K123" s="253">
        <f>K124</f>
        <v>2299900</v>
      </c>
    </row>
    <row r="124" spans="1:11" ht="27">
      <c r="A124" s="152" t="s">
        <v>469</v>
      </c>
      <c r="B124" s="136">
        <v>250</v>
      </c>
      <c r="C124" s="140" t="s">
        <v>170</v>
      </c>
      <c r="D124" s="140" t="s">
        <v>178</v>
      </c>
      <c r="E124" s="134" t="s">
        <v>124</v>
      </c>
      <c r="F124" s="134" t="s">
        <v>493</v>
      </c>
      <c r="G124" s="140" t="s">
        <v>4</v>
      </c>
      <c r="H124" s="140" t="s">
        <v>125</v>
      </c>
      <c r="I124" s="253">
        <f>I127</f>
        <v>2197755.2199999997</v>
      </c>
      <c r="J124" s="253">
        <f>J127</f>
        <v>2160600</v>
      </c>
      <c r="K124" s="253">
        <f>K127</f>
        <v>2299900</v>
      </c>
    </row>
    <row r="125" spans="1:11" ht="40.5">
      <c r="A125" s="139" t="s">
        <v>158</v>
      </c>
      <c r="B125" s="136">
        <v>250</v>
      </c>
      <c r="C125" s="140" t="s">
        <v>170</v>
      </c>
      <c r="D125" s="140" t="s">
        <v>178</v>
      </c>
      <c r="E125" s="134" t="s">
        <v>124</v>
      </c>
      <c r="F125" s="134" t="str">
        <f>F126</f>
        <v>91 4 01 90150</v>
      </c>
      <c r="G125" s="140" t="s">
        <v>127</v>
      </c>
      <c r="H125" s="140"/>
      <c r="I125" s="253">
        <f aca="true" t="shared" si="10" ref="I125:K126">I126</f>
        <v>2197755.2199999997</v>
      </c>
      <c r="J125" s="253">
        <f t="shared" si="10"/>
        <v>2160600</v>
      </c>
      <c r="K125" s="253">
        <f t="shared" si="10"/>
        <v>2299900</v>
      </c>
    </row>
    <row r="126" spans="1:11" ht="28.5" customHeight="1">
      <c r="A126" s="139" t="s">
        <v>256</v>
      </c>
      <c r="B126" s="136">
        <v>250</v>
      </c>
      <c r="C126" s="140" t="s">
        <v>170</v>
      </c>
      <c r="D126" s="140" t="s">
        <v>178</v>
      </c>
      <c r="E126" s="134" t="s">
        <v>124</v>
      </c>
      <c r="F126" s="134" t="str">
        <f>F127</f>
        <v>91 4 01 90150</v>
      </c>
      <c r="G126" s="140" t="s">
        <v>257</v>
      </c>
      <c r="H126" s="140"/>
      <c r="I126" s="253">
        <f t="shared" si="10"/>
        <v>2197755.2199999997</v>
      </c>
      <c r="J126" s="253">
        <f t="shared" si="10"/>
        <v>2160600</v>
      </c>
      <c r="K126" s="253">
        <f t="shared" si="10"/>
        <v>2299900</v>
      </c>
    </row>
    <row r="127" spans="1:11" ht="40.5">
      <c r="A127" s="139" t="s">
        <v>160</v>
      </c>
      <c r="B127" s="136">
        <v>250</v>
      </c>
      <c r="C127" s="140" t="s">
        <v>170</v>
      </c>
      <c r="D127" s="140" t="s">
        <v>178</v>
      </c>
      <c r="E127" s="134" t="s">
        <v>124</v>
      </c>
      <c r="F127" s="134" t="str">
        <f>F124</f>
        <v>91 4 01 90150</v>
      </c>
      <c r="G127" s="140" t="s">
        <v>180</v>
      </c>
      <c r="H127" s="140" t="s">
        <v>125</v>
      </c>
      <c r="I127" s="253">
        <f>I128+I131+I130+I129</f>
        <v>2197755.2199999997</v>
      </c>
      <c r="J127" s="253">
        <f>J128+J129+J130+J131</f>
        <v>2160600</v>
      </c>
      <c r="K127" s="253">
        <f>K128+K131+K130+K129</f>
        <v>2299900</v>
      </c>
    </row>
    <row r="128" spans="1:11" ht="13.5" hidden="1">
      <c r="A128" s="141" t="s">
        <v>17</v>
      </c>
      <c r="B128" s="263">
        <v>250</v>
      </c>
      <c r="C128" s="268" t="s">
        <v>170</v>
      </c>
      <c r="D128" s="268" t="s">
        <v>178</v>
      </c>
      <c r="E128" s="272" t="s">
        <v>188</v>
      </c>
      <c r="F128" s="264" t="s">
        <v>271</v>
      </c>
      <c r="G128" s="264">
        <v>225</v>
      </c>
      <c r="H128" s="134"/>
      <c r="I128" s="253">
        <v>0</v>
      </c>
      <c r="J128" s="253">
        <v>0</v>
      </c>
      <c r="K128" s="253">
        <v>0</v>
      </c>
    </row>
    <row r="129" spans="1:11" ht="13.5" hidden="1">
      <c r="A129" s="141" t="s">
        <v>161</v>
      </c>
      <c r="B129" s="263">
        <v>250</v>
      </c>
      <c r="C129" s="268" t="s">
        <v>170</v>
      </c>
      <c r="D129" s="268" t="s">
        <v>178</v>
      </c>
      <c r="E129" s="272" t="s">
        <v>188</v>
      </c>
      <c r="F129" s="264" t="s">
        <v>271</v>
      </c>
      <c r="G129" s="264">
        <v>226</v>
      </c>
      <c r="H129" s="134"/>
      <c r="I129" s="253">
        <f>1076200+121555.22</f>
        <v>1197755.22</v>
      </c>
      <c r="J129" s="255">
        <v>1560600</v>
      </c>
      <c r="K129" s="255">
        <f>1699900</f>
        <v>1699900</v>
      </c>
    </row>
    <row r="130" spans="1:11" ht="27" hidden="1">
      <c r="A130" s="141" t="s">
        <v>21</v>
      </c>
      <c r="B130" s="263">
        <v>250</v>
      </c>
      <c r="C130" s="268" t="s">
        <v>170</v>
      </c>
      <c r="D130" s="268" t="s">
        <v>178</v>
      </c>
      <c r="E130" s="272" t="s">
        <v>188</v>
      </c>
      <c r="F130" s="264" t="s">
        <v>271</v>
      </c>
      <c r="G130" s="264">
        <v>310</v>
      </c>
      <c r="H130" s="134"/>
      <c r="I130" s="253">
        <v>500000</v>
      </c>
      <c r="J130" s="255">
        <v>300000</v>
      </c>
      <c r="K130" s="255">
        <v>300000</v>
      </c>
    </row>
    <row r="131" spans="1:11" ht="27" hidden="1">
      <c r="A131" s="141" t="s">
        <v>22</v>
      </c>
      <c r="B131" s="263">
        <v>250</v>
      </c>
      <c r="C131" s="268" t="s">
        <v>170</v>
      </c>
      <c r="D131" s="268" t="s">
        <v>178</v>
      </c>
      <c r="E131" s="272" t="s">
        <v>188</v>
      </c>
      <c r="F131" s="264" t="s">
        <v>271</v>
      </c>
      <c r="G131" s="264">
        <v>340</v>
      </c>
      <c r="H131" s="134"/>
      <c r="I131" s="253">
        <v>500000</v>
      </c>
      <c r="J131" s="255">
        <v>300000</v>
      </c>
      <c r="K131" s="255">
        <v>300000</v>
      </c>
    </row>
    <row r="132" spans="1:11" ht="34.5" customHeight="1">
      <c r="A132" s="133" t="s">
        <v>311</v>
      </c>
      <c r="B132" s="136">
        <v>250</v>
      </c>
      <c r="C132" s="154" t="s">
        <v>170</v>
      </c>
      <c r="D132" s="154" t="s">
        <v>313</v>
      </c>
      <c r="E132" s="154" t="s">
        <v>124</v>
      </c>
      <c r="F132" s="136" t="s">
        <v>521</v>
      </c>
      <c r="G132" s="154" t="s">
        <v>4</v>
      </c>
      <c r="H132" s="154" t="s">
        <v>125</v>
      </c>
      <c r="I132" s="254">
        <f>I134</f>
        <v>150000</v>
      </c>
      <c r="J132" s="254">
        <f>J134</f>
        <v>50000</v>
      </c>
      <c r="K132" s="254">
        <f>K134</f>
        <v>50000</v>
      </c>
    </row>
    <row r="133" spans="1:11" ht="48" customHeight="1">
      <c r="A133" s="133" t="s">
        <v>484</v>
      </c>
      <c r="B133" s="136">
        <v>250</v>
      </c>
      <c r="C133" s="154" t="s">
        <v>170</v>
      </c>
      <c r="D133" s="154" t="s">
        <v>313</v>
      </c>
      <c r="E133" s="154"/>
      <c r="F133" s="136" t="s">
        <v>470</v>
      </c>
      <c r="G133" s="154" t="s">
        <v>4</v>
      </c>
      <c r="H133" s="154"/>
      <c r="I133" s="254">
        <f>I134</f>
        <v>150000</v>
      </c>
      <c r="J133" s="254">
        <f>J134</f>
        <v>50000</v>
      </c>
      <c r="K133" s="254">
        <f>K134</f>
        <v>50000</v>
      </c>
    </row>
    <row r="134" spans="1:11" ht="47.25" customHeight="1">
      <c r="A134" s="155" t="s">
        <v>312</v>
      </c>
      <c r="B134" s="134">
        <v>250</v>
      </c>
      <c r="C134" s="156" t="s">
        <v>170</v>
      </c>
      <c r="D134" s="156" t="s">
        <v>313</v>
      </c>
      <c r="E134" s="156" t="s">
        <v>124</v>
      </c>
      <c r="F134" s="134" t="s">
        <v>494</v>
      </c>
      <c r="G134" s="156" t="s">
        <v>125</v>
      </c>
      <c r="H134" s="156" t="s">
        <v>125</v>
      </c>
      <c r="I134" s="253">
        <f>I136</f>
        <v>150000</v>
      </c>
      <c r="J134" s="253">
        <f>J136</f>
        <v>50000</v>
      </c>
      <c r="K134" s="253">
        <f>K136</f>
        <v>50000</v>
      </c>
    </row>
    <row r="135" spans="1:11" ht="54" hidden="1">
      <c r="A135" s="155" t="s">
        <v>346</v>
      </c>
      <c r="B135" s="134">
        <v>250</v>
      </c>
      <c r="C135" s="156" t="s">
        <v>170</v>
      </c>
      <c r="D135" s="156" t="s">
        <v>313</v>
      </c>
      <c r="E135" s="156" t="s">
        <v>124</v>
      </c>
      <c r="F135" s="134" t="s">
        <v>314</v>
      </c>
      <c r="G135" s="156" t="s">
        <v>125</v>
      </c>
      <c r="H135" s="156"/>
      <c r="I135" s="253">
        <f>I136</f>
        <v>150000</v>
      </c>
      <c r="J135" s="253">
        <f>J136</f>
        <v>50000</v>
      </c>
      <c r="K135" s="253">
        <f>K136</f>
        <v>50000</v>
      </c>
    </row>
    <row r="136" spans="1:11" ht="40.5">
      <c r="A136" s="139" t="s">
        <v>158</v>
      </c>
      <c r="B136" s="134">
        <v>250</v>
      </c>
      <c r="C136" s="156" t="s">
        <v>170</v>
      </c>
      <c r="D136" s="156" t="s">
        <v>313</v>
      </c>
      <c r="E136" s="156" t="s">
        <v>124</v>
      </c>
      <c r="F136" s="134" t="str">
        <f>F134</f>
        <v>91 4 02 90160</v>
      </c>
      <c r="G136" s="154" t="s">
        <v>127</v>
      </c>
      <c r="H136" s="156"/>
      <c r="I136" s="253">
        <f aca="true" t="shared" si="11" ref="I136:K138">I137</f>
        <v>150000</v>
      </c>
      <c r="J136" s="253">
        <f t="shared" si="11"/>
        <v>50000</v>
      </c>
      <c r="K136" s="253">
        <f t="shared" si="11"/>
        <v>50000</v>
      </c>
    </row>
    <row r="137" spans="1:11" ht="27">
      <c r="A137" s="139" t="s">
        <v>256</v>
      </c>
      <c r="B137" s="134">
        <v>250</v>
      </c>
      <c r="C137" s="156" t="s">
        <v>170</v>
      </c>
      <c r="D137" s="156" t="s">
        <v>313</v>
      </c>
      <c r="E137" s="156" t="s">
        <v>124</v>
      </c>
      <c r="F137" s="134" t="str">
        <f>F136</f>
        <v>91 4 02 90160</v>
      </c>
      <c r="G137" s="156" t="s">
        <v>257</v>
      </c>
      <c r="H137" s="156"/>
      <c r="I137" s="253">
        <f t="shared" si="11"/>
        <v>150000</v>
      </c>
      <c r="J137" s="253">
        <f t="shared" si="11"/>
        <v>50000</v>
      </c>
      <c r="K137" s="253">
        <f t="shared" si="11"/>
        <v>50000</v>
      </c>
    </row>
    <row r="138" spans="1:13" ht="29.25" customHeight="1">
      <c r="A138" s="139" t="s">
        <v>261</v>
      </c>
      <c r="B138" s="136">
        <v>250</v>
      </c>
      <c r="C138" s="154" t="s">
        <v>170</v>
      </c>
      <c r="D138" s="154" t="s">
        <v>313</v>
      </c>
      <c r="E138" s="154" t="s">
        <v>124</v>
      </c>
      <c r="F138" s="136" t="str">
        <f>F137</f>
        <v>91 4 02 90160</v>
      </c>
      <c r="G138" s="156" t="s">
        <v>180</v>
      </c>
      <c r="H138" s="156" t="s">
        <v>125</v>
      </c>
      <c r="I138" s="253">
        <f>I139</f>
        <v>150000</v>
      </c>
      <c r="J138" s="253">
        <f t="shared" si="11"/>
        <v>50000</v>
      </c>
      <c r="K138" s="253">
        <f t="shared" si="11"/>
        <v>50000</v>
      </c>
      <c r="L138" s="37"/>
      <c r="M138" s="310"/>
    </row>
    <row r="139" spans="1:11" ht="13.5" hidden="1">
      <c r="A139" s="141" t="s">
        <v>161</v>
      </c>
      <c r="B139" s="263">
        <v>250</v>
      </c>
      <c r="C139" s="273" t="s">
        <v>170</v>
      </c>
      <c r="D139" s="273" t="s">
        <v>313</v>
      </c>
      <c r="E139" s="273" t="s">
        <v>124</v>
      </c>
      <c r="F139" s="263" t="s">
        <v>314</v>
      </c>
      <c r="G139" s="274" t="s">
        <v>157</v>
      </c>
      <c r="H139" s="156" t="s">
        <v>159</v>
      </c>
      <c r="I139" s="253">
        <f>30000+120000</f>
        <v>150000</v>
      </c>
      <c r="J139" s="255">
        <v>50000</v>
      </c>
      <c r="K139" s="255">
        <v>50000</v>
      </c>
    </row>
    <row r="140" spans="1:11" ht="62.25" customHeight="1" hidden="1">
      <c r="A140" s="155" t="s">
        <v>331</v>
      </c>
      <c r="B140" s="136">
        <v>250</v>
      </c>
      <c r="C140" s="154" t="s">
        <v>170</v>
      </c>
      <c r="D140" s="154" t="s">
        <v>313</v>
      </c>
      <c r="E140" s="154" t="s">
        <v>124</v>
      </c>
      <c r="F140" s="136" t="s">
        <v>332</v>
      </c>
      <c r="G140" s="156" t="s">
        <v>125</v>
      </c>
      <c r="H140" s="156"/>
      <c r="I140" s="253">
        <f aca="true" t="shared" si="12" ref="I140:K143">I141</f>
        <v>0</v>
      </c>
      <c r="J140" s="253">
        <f t="shared" si="12"/>
        <v>0</v>
      </c>
      <c r="K140" s="253">
        <f t="shared" si="12"/>
        <v>0</v>
      </c>
    </row>
    <row r="141" spans="1:11" ht="40.5" hidden="1">
      <c r="A141" s="139" t="s">
        <v>158</v>
      </c>
      <c r="B141" s="136">
        <v>250</v>
      </c>
      <c r="C141" s="154" t="s">
        <v>170</v>
      </c>
      <c r="D141" s="154" t="s">
        <v>313</v>
      </c>
      <c r="E141" s="154" t="s">
        <v>124</v>
      </c>
      <c r="F141" s="136" t="s">
        <v>332</v>
      </c>
      <c r="G141" s="156" t="s">
        <v>127</v>
      </c>
      <c r="H141" s="156"/>
      <c r="I141" s="253">
        <f t="shared" si="12"/>
        <v>0</v>
      </c>
      <c r="J141" s="253">
        <f t="shared" si="12"/>
        <v>0</v>
      </c>
      <c r="K141" s="253">
        <f t="shared" si="12"/>
        <v>0</v>
      </c>
    </row>
    <row r="142" spans="1:11" ht="27" hidden="1">
      <c r="A142" s="139" t="s">
        <v>256</v>
      </c>
      <c r="B142" s="136">
        <v>250</v>
      </c>
      <c r="C142" s="154" t="s">
        <v>170</v>
      </c>
      <c r="D142" s="154" t="s">
        <v>313</v>
      </c>
      <c r="E142" s="154" t="s">
        <v>124</v>
      </c>
      <c r="F142" s="136" t="s">
        <v>332</v>
      </c>
      <c r="G142" s="156" t="s">
        <v>257</v>
      </c>
      <c r="H142" s="156"/>
      <c r="I142" s="253">
        <f t="shared" si="12"/>
        <v>0</v>
      </c>
      <c r="J142" s="253">
        <f t="shared" si="12"/>
        <v>0</v>
      </c>
      <c r="K142" s="253">
        <f t="shared" si="12"/>
        <v>0</v>
      </c>
    </row>
    <row r="143" spans="1:11" ht="40.5" hidden="1">
      <c r="A143" s="139" t="s">
        <v>261</v>
      </c>
      <c r="B143" s="136">
        <v>250</v>
      </c>
      <c r="C143" s="154" t="s">
        <v>170</v>
      </c>
      <c r="D143" s="154" t="s">
        <v>313</v>
      </c>
      <c r="E143" s="154" t="s">
        <v>124</v>
      </c>
      <c r="F143" s="136" t="s">
        <v>332</v>
      </c>
      <c r="G143" s="156" t="s">
        <v>180</v>
      </c>
      <c r="H143" s="156"/>
      <c r="I143" s="253">
        <f t="shared" si="12"/>
        <v>0</v>
      </c>
      <c r="J143" s="253">
        <v>0</v>
      </c>
      <c r="K143" s="253">
        <v>0</v>
      </c>
    </row>
    <row r="144" spans="1:11" ht="13.5" hidden="1">
      <c r="A144" s="141" t="s">
        <v>161</v>
      </c>
      <c r="B144" s="136">
        <v>250</v>
      </c>
      <c r="C144" s="154" t="s">
        <v>170</v>
      </c>
      <c r="D144" s="154" t="s">
        <v>313</v>
      </c>
      <c r="E144" s="154" t="s">
        <v>124</v>
      </c>
      <c r="F144" s="136" t="s">
        <v>332</v>
      </c>
      <c r="G144" s="156" t="s">
        <v>180</v>
      </c>
      <c r="H144" s="156"/>
      <c r="I144" s="253">
        <v>0</v>
      </c>
      <c r="J144" s="255">
        <v>0</v>
      </c>
      <c r="K144" s="255">
        <v>0</v>
      </c>
    </row>
    <row r="145" spans="1:14" ht="13.5">
      <c r="A145" s="164" t="s">
        <v>75</v>
      </c>
      <c r="B145" s="165">
        <v>250</v>
      </c>
      <c r="C145" s="224" t="s">
        <v>176</v>
      </c>
      <c r="D145" s="224" t="s">
        <v>123</v>
      </c>
      <c r="E145" s="224" t="s">
        <v>124</v>
      </c>
      <c r="F145" s="165" t="s">
        <v>521</v>
      </c>
      <c r="G145" s="166" t="s">
        <v>4</v>
      </c>
      <c r="H145" s="166"/>
      <c r="I145" s="256">
        <f>I154+I148</f>
        <v>5489822.76</v>
      </c>
      <c r="J145" s="256">
        <f>J148+J154</f>
        <v>1203080</v>
      </c>
      <c r="K145" s="256">
        <f>K148+K154</f>
        <v>908185</v>
      </c>
      <c r="M145" s="40"/>
      <c r="N145" s="40"/>
    </row>
    <row r="146" spans="1:14" ht="27" hidden="1">
      <c r="A146" s="164" t="s">
        <v>471</v>
      </c>
      <c r="B146" s="165"/>
      <c r="C146" s="224"/>
      <c r="D146" s="224"/>
      <c r="E146" s="224"/>
      <c r="F146" s="165" t="s">
        <v>458</v>
      </c>
      <c r="G146" s="166"/>
      <c r="H146" s="166"/>
      <c r="I146" s="256"/>
      <c r="J146" s="256"/>
      <c r="K146" s="256"/>
      <c r="M146" s="40"/>
      <c r="N146" s="40"/>
    </row>
    <row r="147" spans="1:14" ht="13.5" hidden="1">
      <c r="A147" s="164"/>
      <c r="B147" s="165"/>
      <c r="C147" s="224"/>
      <c r="D147" s="224"/>
      <c r="E147" s="224"/>
      <c r="F147" s="165" t="s">
        <v>472</v>
      </c>
      <c r="G147" s="166"/>
      <c r="H147" s="166"/>
      <c r="I147" s="256"/>
      <c r="J147" s="256"/>
      <c r="K147" s="256"/>
      <c r="M147" s="40"/>
      <c r="N147" s="40"/>
    </row>
    <row r="148" spans="1:11" ht="27">
      <c r="A148" s="133" t="s">
        <v>473</v>
      </c>
      <c r="B148" s="136">
        <v>250</v>
      </c>
      <c r="C148" s="154" t="s">
        <v>176</v>
      </c>
      <c r="D148" s="154" t="s">
        <v>146</v>
      </c>
      <c r="E148" s="154"/>
      <c r="F148" s="136" t="s">
        <v>495</v>
      </c>
      <c r="G148" s="157" t="s">
        <v>125</v>
      </c>
      <c r="H148" s="157"/>
      <c r="I148" s="254">
        <f aca="true" t="shared" si="13" ref="I148:K150">I149</f>
        <v>50000</v>
      </c>
      <c r="J148" s="254">
        <f t="shared" si="13"/>
        <v>100000</v>
      </c>
      <c r="K148" s="254">
        <f t="shared" si="13"/>
        <v>100000</v>
      </c>
    </row>
    <row r="149" spans="1:11" ht="40.5">
      <c r="A149" s="139" t="s">
        <v>158</v>
      </c>
      <c r="B149" s="136">
        <v>250</v>
      </c>
      <c r="C149" s="154" t="s">
        <v>176</v>
      </c>
      <c r="D149" s="154" t="s">
        <v>146</v>
      </c>
      <c r="E149" s="154"/>
      <c r="F149" s="136" t="str">
        <f>F148</f>
        <v>91 5 01 90170</v>
      </c>
      <c r="G149" s="157" t="s">
        <v>127</v>
      </c>
      <c r="H149" s="153"/>
      <c r="I149" s="253">
        <f t="shared" si="13"/>
        <v>50000</v>
      </c>
      <c r="J149" s="253">
        <f t="shared" si="13"/>
        <v>100000</v>
      </c>
      <c r="K149" s="253">
        <f t="shared" si="13"/>
        <v>100000</v>
      </c>
    </row>
    <row r="150" spans="1:11" ht="27">
      <c r="A150" s="139" t="s">
        <v>256</v>
      </c>
      <c r="B150" s="136">
        <v>250</v>
      </c>
      <c r="C150" s="154" t="s">
        <v>176</v>
      </c>
      <c r="D150" s="154" t="s">
        <v>146</v>
      </c>
      <c r="E150" s="154"/>
      <c r="F150" s="136" t="str">
        <f>F149</f>
        <v>91 5 01 90170</v>
      </c>
      <c r="G150" s="153" t="s">
        <v>257</v>
      </c>
      <c r="H150" s="153"/>
      <c r="I150" s="253">
        <f t="shared" si="13"/>
        <v>50000</v>
      </c>
      <c r="J150" s="253">
        <f t="shared" si="13"/>
        <v>100000</v>
      </c>
      <c r="K150" s="253">
        <f t="shared" si="13"/>
        <v>100000</v>
      </c>
    </row>
    <row r="151" spans="1:11" ht="43.5" customHeight="1">
      <c r="A151" s="139" t="s">
        <v>160</v>
      </c>
      <c r="B151" s="136">
        <v>250</v>
      </c>
      <c r="C151" s="154" t="s">
        <v>176</v>
      </c>
      <c r="D151" s="154" t="s">
        <v>146</v>
      </c>
      <c r="E151" s="154"/>
      <c r="F151" s="136" t="str">
        <f>F150</f>
        <v>91 5 01 90170</v>
      </c>
      <c r="G151" s="153" t="s">
        <v>180</v>
      </c>
      <c r="H151" s="153"/>
      <c r="I151" s="253">
        <f>I152+I153</f>
        <v>50000</v>
      </c>
      <c r="J151" s="253">
        <f>J152+J153</f>
        <v>100000</v>
      </c>
      <c r="K151" s="253">
        <f>K152+K153</f>
        <v>100000</v>
      </c>
    </row>
    <row r="152" spans="1:11" ht="13.5" hidden="1">
      <c r="A152" s="225" t="s">
        <v>356</v>
      </c>
      <c r="B152" s="263">
        <v>250</v>
      </c>
      <c r="C152" s="273" t="s">
        <v>176</v>
      </c>
      <c r="D152" s="273" t="s">
        <v>146</v>
      </c>
      <c r="E152" s="273"/>
      <c r="F152" s="263" t="s">
        <v>330</v>
      </c>
      <c r="G152" s="272" t="s">
        <v>157</v>
      </c>
      <c r="H152" s="153"/>
      <c r="I152" s="253">
        <v>0</v>
      </c>
      <c r="J152" s="253">
        <v>50000</v>
      </c>
      <c r="K152" s="253">
        <v>50000</v>
      </c>
    </row>
    <row r="153" spans="1:11" ht="13.5" hidden="1">
      <c r="A153" s="225" t="s">
        <v>363</v>
      </c>
      <c r="B153" s="263">
        <v>250</v>
      </c>
      <c r="C153" s="273" t="s">
        <v>176</v>
      </c>
      <c r="D153" s="273" t="s">
        <v>146</v>
      </c>
      <c r="E153" s="273"/>
      <c r="F153" s="263" t="s">
        <v>330</v>
      </c>
      <c r="G153" s="272" t="s">
        <v>159</v>
      </c>
      <c r="H153" s="153"/>
      <c r="I153" s="253">
        <v>50000</v>
      </c>
      <c r="J153" s="253">
        <v>50000</v>
      </c>
      <c r="K153" s="253">
        <v>50000</v>
      </c>
    </row>
    <row r="154" spans="1:14" ht="13.5">
      <c r="A154" s="164" t="s">
        <v>243</v>
      </c>
      <c r="B154" s="165">
        <v>250</v>
      </c>
      <c r="C154" s="165" t="s">
        <v>73</v>
      </c>
      <c r="D154" s="165" t="s">
        <v>43</v>
      </c>
      <c r="E154" s="165" t="s">
        <v>3</v>
      </c>
      <c r="F154" s="165" t="s">
        <v>458</v>
      </c>
      <c r="G154" s="165" t="s">
        <v>4</v>
      </c>
      <c r="H154" s="166" t="s">
        <v>125</v>
      </c>
      <c r="I154" s="256">
        <f>I156+I161+I170+I179+I186+I192+I198+I205+I212+I217+I222+I227</f>
        <v>5439822.76</v>
      </c>
      <c r="J154" s="256">
        <f>J156+J161+J170+J179+J186+J192+J198+J205+J212+J217+J222+J227</f>
        <v>1103080</v>
      </c>
      <c r="K154" s="256">
        <f>K156+K161+K170+K179+K186+K192+K198+K205+K212+K217+K222+K227</f>
        <v>808185</v>
      </c>
      <c r="L154" s="191"/>
      <c r="N154" s="40"/>
    </row>
    <row r="155" spans="1:14" ht="40.5" hidden="1">
      <c r="A155" s="164" t="s">
        <v>240</v>
      </c>
      <c r="B155" s="165"/>
      <c r="C155" s="165"/>
      <c r="D155" s="165"/>
      <c r="E155" s="165"/>
      <c r="F155" s="165" t="s">
        <v>474</v>
      </c>
      <c r="G155" s="165"/>
      <c r="H155" s="166"/>
      <c r="I155" s="256">
        <f>I156</f>
        <v>49144.62</v>
      </c>
      <c r="J155" s="256">
        <f>J156</f>
        <v>112080</v>
      </c>
      <c r="K155" s="256">
        <f>K156</f>
        <v>17185</v>
      </c>
      <c r="L155" s="191"/>
      <c r="N155" s="40"/>
    </row>
    <row r="156" spans="1:14" ht="27">
      <c r="A156" s="164" t="s">
        <v>475</v>
      </c>
      <c r="B156" s="136">
        <v>250</v>
      </c>
      <c r="C156" s="136" t="s">
        <v>73</v>
      </c>
      <c r="D156" s="136" t="s">
        <v>43</v>
      </c>
      <c r="E156" s="136" t="s">
        <v>134</v>
      </c>
      <c r="F156" s="136" t="s">
        <v>496</v>
      </c>
      <c r="G156" s="136" t="s">
        <v>4</v>
      </c>
      <c r="H156" s="157" t="s">
        <v>125</v>
      </c>
      <c r="I156" s="254">
        <f>SUM(I159)</f>
        <v>49144.62</v>
      </c>
      <c r="J156" s="254">
        <f>SUM(J159)</f>
        <v>112080</v>
      </c>
      <c r="K156" s="254">
        <f>SUM(K159)</f>
        <v>17185</v>
      </c>
      <c r="N156" s="40"/>
    </row>
    <row r="157" spans="1:13" ht="40.5">
      <c r="A157" s="139" t="s">
        <v>158</v>
      </c>
      <c r="B157" s="136">
        <v>250</v>
      </c>
      <c r="C157" s="134" t="s">
        <v>73</v>
      </c>
      <c r="D157" s="134" t="s">
        <v>43</v>
      </c>
      <c r="E157" s="134" t="s">
        <v>134</v>
      </c>
      <c r="F157" s="134" t="str">
        <f>F156</f>
        <v>91 5 02 90180</v>
      </c>
      <c r="G157" s="136">
        <v>200</v>
      </c>
      <c r="H157" s="157"/>
      <c r="I157" s="253">
        <f>I158</f>
        <v>49144.62</v>
      </c>
      <c r="J157" s="253">
        <f aca="true" t="shared" si="14" ref="J157:K159">J158</f>
        <v>112080</v>
      </c>
      <c r="K157" s="253">
        <f t="shared" si="14"/>
        <v>17185</v>
      </c>
      <c r="M157" s="40"/>
    </row>
    <row r="158" spans="1:11" ht="27">
      <c r="A158" s="139" t="s">
        <v>256</v>
      </c>
      <c r="B158" s="136">
        <v>250</v>
      </c>
      <c r="C158" s="134" t="s">
        <v>73</v>
      </c>
      <c r="D158" s="134" t="s">
        <v>43</v>
      </c>
      <c r="E158" s="134" t="s">
        <v>134</v>
      </c>
      <c r="F158" s="134" t="str">
        <f>F157</f>
        <v>91 5 02 90180</v>
      </c>
      <c r="G158" s="134">
        <v>240</v>
      </c>
      <c r="H158" s="157"/>
      <c r="I158" s="253">
        <f>I159</f>
        <v>49144.62</v>
      </c>
      <c r="J158" s="253">
        <f t="shared" si="14"/>
        <v>112080</v>
      </c>
      <c r="K158" s="253">
        <f t="shared" si="14"/>
        <v>17185</v>
      </c>
    </row>
    <row r="159" spans="1:11" ht="41.25" customHeight="1">
      <c r="A159" s="139" t="s">
        <v>160</v>
      </c>
      <c r="B159" s="136">
        <v>250</v>
      </c>
      <c r="C159" s="134" t="s">
        <v>73</v>
      </c>
      <c r="D159" s="134" t="s">
        <v>43</v>
      </c>
      <c r="E159" s="134" t="s">
        <v>134</v>
      </c>
      <c r="F159" s="134" t="str">
        <f>F158</f>
        <v>91 5 02 90180</v>
      </c>
      <c r="G159" s="134">
        <v>244</v>
      </c>
      <c r="H159" s="157" t="s">
        <v>125</v>
      </c>
      <c r="I159" s="253">
        <f>I160</f>
        <v>49144.62</v>
      </c>
      <c r="J159" s="253">
        <f t="shared" si="14"/>
        <v>112080</v>
      </c>
      <c r="K159" s="253">
        <f t="shared" si="14"/>
        <v>17185</v>
      </c>
    </row>
    <row r="160" spans="1:11" ht="30.75" customHeight="1" hidden="1">
      <c r="A160" s="141" t="s">
        <v>135</v>
      </c>
      <c r="B160" s="136">
        <v>250</v>
      </c>
      <c r="C160" s="134" t="s">
        <v>73</v>
      </c>
      <c r="D160" s="134" t="s">
        <v>43</v>
      </c>
      <c r="E160" s="134" t="s">
        <v>134</v>
      </c>
      <c r="F160" s="134" t="s">
        <v>362</v>
      </c>
      <c r="G160" s="134">
        <v>340</v>
      </c>
      <c r="H160" s="134">
        <v>340</v>
      </c>
      <c r="I160" s="253">
        <f>50000-895.38+40</f>
        <v>49144.62</v>
      </c>
      <c r="J160" s="255">
        <f>10000+190000-100000+12080</f>
        <v>112080</v>
      </c>
      <c r="K160" s="255">
        <f>10000+7185</f>
        <v>17185</v>
      </c>
    </row>
    <row r="161" spans="1:11" ht="13.5">
      <c r="A161" s="133" t="s">
        <v>242</v>
      </c>
      <c r="B161" s="136">
        <v>250</v>
      </c>
      <c r="C161" s="142" t="s">
        <v>176</v>
      </c>
      <c r="D161" s="142" t="s">
        <v>177</v>
      </c>
      <c r="E161" s="142" t="s">
        <v>234</v>
      </c>
      <c r="F161" s="136" t="s">
        <v>459</v>
      </c>
      <c r="G161" s="157" t="s">
        <v>4</v>
      </c>
      <c r="H161" s="157" t="s">
        <v>125</v>
      </c>
      <c r="I161" s="254">
        <f>I165</f>
        <v>50000</v>
      </c>
      <c r="J161" s="254">
        <f>J163</f>
        <v>200000</v>
      </c>
      <c r="K161" s="254">
        <f>K163</f>
        <v>50000</v>
      </c>
    </row>
    <row r="162" spans="1:11" ht="27" hidden="1">
      <c r="A162" s="164" t="s">
        <v>475</v>
      </c>
      <c r="B162" s="136"/>
      <c r="C162" s="142"/>
      <c r="D162" s="142"/>
      <c r="E162" s="142"/>
      <c r="F162" s="136" t="s">
        <v>476</v>
      </c>
      <c r="G162" s="157"/>
      <c r="H162" s="157"/>
      <c r="I162" s="254"/>
      <c r="J162" s="254"/>
      <c r="K162" s="254"/>
    </row>
    <row r="163" spans="1:11" ht="40.5">
      <c r="A163" s="139" t="s">
        <v>158</v>
      </c>
      <c r="B163" s="136">
        <v>250</v>
      </c>
      <c r="C163" s="140" t="s">
        <v>176</v>
      </c>
      <c r="D163" s="140" t="s">
        <v>177</v>
      </c>
      <c r="E163" s="140" t="s">
        <v>234</v>
      </c>
      <c r="F163" s="134" t="s">
        <v>497</v>
      </c>
      <c r="G163" s="157" t="s">
        <v>127</v>
      </c>
      <c r="H163" s="157"/>
      <c r="I163" s="253">
        <f aca="true" t="shared" si="15" ref="I163:K164">I164</f>
        <v>50000</v>
      </c>
      <c r="J163" s="253">
        <f t="shared" si="15"/>
        <v>200000</v>
      </c>
      <c r="K163" s="253">
        <f t="shared" si="15"/>
        <v>50000</v>
      </c>
    </row>
    <row r="164" spans="1:11" ht="27">
      <c r="A164" s="139" t="s">
        <v>256</v>
      </c>
      <c r="B164" s="136">
        <v>250</v>
      </c>
      <c r="C164" s="140" t="s">
        <v>176</v>
      </c>
      <c r="D164" s="140" t="s">
        <v>177</v>
      </c>
      <c r="E164" s="140" t="s">
        <v>234</v>
      </c>
      <c r="F164" s="134" t="str">
        <f>F163</f>
        <v>91 5 03 90180</v>
      </c>
      <c r="G164" s="153" t="s">
        <v>257</v>
      </c>
      <c r="H164" s="157"/>
      <c r="I164" s="253">
        <f t="shared" si="15"/>
        <v>50000</v>
      </c>
      <c r="J164" s="253">
        <f t="shared" si="15"/>
        <v>200000</v>
      </c>
      <c r="K164" s="253">
        <f t="shared" si="15"/>
        <v>50000</v>
      </c>
    </row>
    <row r="165" spans="1:11" ht="40.5">
      <c r="A165" s="139" t="s">
        <v>160</v>
      </c>
      <c r="B165" s="136">
        <v>250</v>
      </c>
      <c r="C165" s="140" t="s">
        <v>176</v>
      </c>
      <c r="D165" s="140" t="s">
        <v>177</v>
      </c>
      <c r="E165" s="140" t="s">
        <v>234</v>
      </c>
      <c r="F165" s="134" t="str">
        <f>F164</f>
        <v>91 5 03 90180</v>
      </c>
      <c r="G165" s="134">
        <v>244</v>
      </c>
      <c r="H165" s="157" t="s">
        <v>125</v>
      </c>
      <c r="I165" s="253">
        <f>I166+I167+I168+I169</f>
        <v>50000</v>
      </c>
      <c r="J165" s="253">
        <f>J166+J167+J168+J169</f>
        <v>200000</v>
      </c>
      <c r="K165" s="253">
        <f>K166+K167+K168+K169</f>
        <v>50000</v>
      </c>
    </row>
    <row r="166" spans="1:11" ht="27" hidden="1">
      <c r="A166" s="144" t="s">
        <v>107</v>
      </c>
      <c r="B166" s="263">
        <v>250</v>
      </c>
      <c r="C166" s="268" t="s">
        <v>176</v>
      </c>
      <c r="D166" s="268" t="s">
        <v>177</v>
      </c>
      <c r="E166" s="268" t="s">
        <v>234</v>
      </c>
      <c r="F166" s="264" t="s">
        <v>272</v>
      </c>
      <c r="G166" s="264">
        <v>224</v>
      </c>
      <c r="H166" s="157"/>
      <c r="I166" s="253">
        <v>0</v>
      </c>
      <c r="J166" s="253">
        <v>0</v>
      </c>
      <c r="K166" s="253">
        <v>0</v>
      </c>
    </row>
    <row r="167" spans="1:11" ht="13.5" hidden="1">
      <c r="A167" s="141" t="s">
        <v>161</v>
      </c>
      <c r="B167" s="263">
        <v>250</v>
      </c>
      <c r="C167" s="268" t="s">
        <v>176</v>
      </c>
      <c r="D167" s="268" t="s">
        <v>177</v>
      </c>
      <c r="E167" s="268" t="s">
        <v>234</v>
      </c>
      <c r="F167" s="264" t="s">
        <v>272</v>
      </c>
      <c r="G167" s="264">
        <v>226</v>
      </c>
      <c r="H167" s="157"/>
      <c r="I167" s="253">
        <v>50000</v>
      </c>
      <c r="J167" s="253">
        <f>20000+180000</f>
        <v>200000</v>
      </c>
      <c r="K167" s="253">
        <v>50000</v>
      </c>
    </row>
    <row r="168" spans="1:11" ht="27" hidden="1">
      <c r="A168" s="141" t="s">
        <v>21</v>
      </c>
      <c r="B168" s="263">
        <v>250</v>
      </c>
      <c r="C168" s="268" t="s">
        <v>176</v>
      </c>
      <c r="D168" s="268" t="s">
        <v>177</v>
      </c>
      <c r="E168" s="268" t="s">
        <v>234</v>
      </c>
      <c r="F168" s="264" t="s">
        <v>272</v>
      </c>
      <c r="G168" s="264">
        <v>310</v>
      </c>
      <c r="H168" s="157"/>
      <c r="I168" s="253">
        <v>0</v>
      </c>
      <c r="J168" s="253">
        <v>0</v>
      </c>
      <c r="K168" s="253">
        <v>0</v>
      </c>
    </row>
    <row r="169" spans="1:11" ht="27" hidden="1">
      <c r="A169" s="141" t="s">
        <v>135</v>
      </c>
      <c r="B169" s="263">
        <v>250</v>
      </c>
      <c r="C169" s="268" t="s">
        <v>176</v>
      </c>
      <c r="D169" s="268" t="s">
        <v>177</v>
      </c>
      <c r="E169" s="268" t="s">
        <v>234</v>
      </c>
      <c r="F169" s="264" t="s">
        <v>272</v>
      </c>
      <c r="G169" s="264">
        <v>340</v>
      </c>
      <c r="H169" s="134">
        <v>340</v>
      </c>
      <c r="I169" s="253">
        <v>0</v>
      </c>
      <c r="J169" s="255">
        <v>0</v>
      </c>
      <c r="K169" s="255">
        <v>0</v>
      </c>
    </row>
    <row r="170" spans="1:11" ht="27">
      <c r="A170" s="133" t="s">
        <v>241</v>
      </c>
      <c r="B170" s="136">
        <v>250</v>
      </c>
      <c r="C170" s="142" t="s">
        <v>176</v>
      </c>
      <c r="D170" s="142" t="s">
        <v>177</v>
      </c>
      <c r="E170" s="142" t="s">
        <v>235</v>
      </c>
      <c r="F170" s="136" t="s">
        <v>499</v>
      </c>
      <c r="G170" s="136" t="s">
        <v>4</v>
      </c>
      <c r="H170" s="157" t="s">
        <v>125</v>
      </c>
      <c r="I170" s="254">
        <f>I174</f>
        <v>0</v>
      </c>
      <c r="J170" s="254">
        <f>J174</f>
        <v>0</v>
      </c>
      <c r="K170" s="254">
        <f>K174</f>
        <v>0</v>
      </c>
    </row>
    <row r="171" spans="1:11" ht="27" hidden="1">
      <c r="A171" s="164" t="s">
        <v>475</v>
      </c>
      <c r="B171" s="136"/>
      <c r="C171" s="142"/>
      <c r="D171" s="142"/>
      <c r="E171" s="142"/>
      <c r="F171" s="136" t="s">
        <v>498</v>
      </c>
      <c r="G171" s="136"/>
      <c r="H171" s="157"/>
      <c r="I171" s="254"/>
      <c r="J171" s="254"/>
      <c r="K171" s="254"/>
    </row>
    <row r="172" spans="1:11" ht="40.5">
      <c r="A172" s="139" t="s">
        <v>158</v>
      </c>
      <c r="B172" s="136">
        <v>250</v>
      </c>
      <c r="C172" s="140" t="s">
        <v>176</v>
      </c>
      <c r="D172" s="140" t="s">
        <v>177</v>
      </c>
      <c r="E172" s="140" t="s">
        <v>235</v>
      </c>
      <c r="F172" s="134" t="s">
        <v>498</v>
      </c>
      <c r="G172" s="136">
        <v>200</v>
      </c>
      <c r="H172" s="157"/>
      <c r="I172" s="253">
        <f aca="true" t="shared" si="16" ref="I172:K173">I173</f>
        <v>0</v>
      </c>
      <c r="J172" s="253">
        <f t="shared" si="16"/>
        <v>0</v>
      </c>
      <c r="K172" s="253">
        <f t="shared" si="16"/>
        <v>0</v>
      </c>
    </row>
    <row r="173" spans="1:11" ht="27">
      <c r="A173" s="139" t="s">
        <v>256</v>
      </c>
      <c r="B173" s="136">
        <v>250</v>
      </c>
      <c r="C173" s="140" t="s">
        <v>176</v>
      </c>
      <c r="D173" s="140" t="s">
        <v>177</v>
      </c>
      <c r="E173" s="140" t="s">
        <v>235</v>
      </c>
      <c r="F173" s="134" t="str">
        <f>F172</f>
        <v>91 5 04 90180</v>
      </c>
      <c r="G173" s="134">
        <v>240</v>
      </c>
      <c r="H173" s="157"/>
      <c r="I173" s="253">
        <f t="shared" si="16"/>
        <v>0</v>
      </c>
      <c r="J173" s="253">
        <f t="shared" si="16"/>
        <v>0</v>
      </c>
      <c r="K173" s="253">
        <f t="shared" si="16"/>
        <v>0</v>
      </c>
    </row>
    <row r="174" spans="1:11" ht="40.5">
      <c r="A174" s="139" t="s">
        <v>160</v>
      </c>
      <c r="B174" s="136">
        <v>250</v>
      </c>
      <c r="C174" s="140" t="s">
        <v>176</v>
      </c>
      <c r="D174" s="140" t="s">
        <v>177</v>
      </c>
      <c r="E174" s="140" t="s">
        <v>235</v>
      </c>
      <c r="F174" s="134" t="str">
        <f>F173</f>
        <v>91 5 04 90180</v>
      </c>
      <c r="G174" s="134">
        <v>244</v>
      </c>
      <c r="H174" s="157" t="s">
        <v>125</v>
      </c>
      <c r="I174" s="253">
        <f>I177+I176+I175</f>
        <v>0</v>
      </c>
      <c r="J174" s="253">
        <f>J175+J176+J177</f>
        <v>0</v>
      </c>
      <c r="K174" s="253">
        <f>K175+K176+K177</f>
        <v>0</v>
      </c>
    </row>
    <row r="175" spans="1:11" ht="15" customHeight="1" hidden="1">
      <c r="A175" s="141" t="s">
        <v>161</v>
      </c>
      <c r="B175" s="263">
        <v>250</v>
      </c>
      <c r="C175" s="268" t="s">
        <v>176</v>
      </c>
      <c r="D175" s="268" t="s">
        <v>177</v>
      </c>
      <c r="E175" s="268" t="s">
        <v>235</v>
      </c>
      <c r="F175" s="263" t="s">
        <v>273</v>
      </c>
      <c r="G175" s="264">
        <v>226</v>
      </c>
      <c r="H175" s="157"/>
      <c r="I175" s="253">
        <v>0</v>
      </c>
      <c r="J175" s="253">
        <v>0</v>
      </c>
      <c r="K175" s="253">
        <v>0</v>
      </c>
    </row>
    <row r="176" spans="1:11" ht="27" hidden="1">
      <c r="A176" s="141" t="s">
        <v>21</v>
      </c>
      <c r="B176" s="263">
        <v>250</v>
      </c>
      <c r="C176" s="268" t="s">
        <v>176</v>
      </c>
      <c r="D176" s="268" t="s">
        <v>177</v>
      </c>
      <c r="E176" s="268" t="s">
        <v>235</v>
      </c>
      <c r="F176" s="263" t="s">
        <v>273</v>
      </c>
      <c r="G176" s="264">
        <v>310</v>
      </c>
      <c r="H176" s="157"/>
      <c r="I176" s="253">
        <v>0</v>
      </c>
      <c r="J176" s="253">
        <v>0</v>
      </c>
      <c r="K176" s="253">
        <v>0</v>
      </c>
    </row>
    <row r="177" spans="1:11" ht="27" hidden="1">
      <c r="A177" s="141" t="s">
        <v>135</v>
      </c>
      <c r="B177" s="263">
        <v>250</v>
      </c>
      <c r="C177" s="268" t="s">
        <v>176</v>
      </c>
      <c r="D177" s="268" t="s">
        <v>177</v>
      </c>
      <c r="E177" s="268" t="s">
        <v>235</v>
      </c>
      <c r="F177" s="263" t="s">
        <v>273</v>
      </c>
      <c r="G177" s="264">
        <v>340</v>
      </c>
      <c r="H177" s="134">
        <v>340</v>
      </c>
      <c r="I177" s="253">
        <v>0</v>
      </c>
      <c r="J177" s="255">
        <v>0</v>
      </c>
      <c r="K177" s="255">
        <v>0</v>
      </c>
    </row>
    <row r="178" spans="1:11" ht="13.5" hidden="1">
      <c r="A178" s="309"/>
      <c r="B178" s="263"/>
      <c r="C178" s="268"/>
      <c r="D178" s="268"/>
      <c r="E178" s="268"/>
      <c r="F178" s="136" t="s">
        <v>477</v>
      </c>
      <c r="G178" s="264"/>
      <c r="H178" s="134"/>
      <c r="I178" s="253"/>
      <c r="J178" s="255"/>
      <c r="K178" s="255"/>
    </row>
    <row r="179" spans="1:11" ht="40.5">
      <c r="A179" s="133" t="s">
        <v>348</v>
      </c>
      <c r="B179" s="136">
        <v>250</v>
      </c>
      <c r="C179" s="136" t="s">
        <v>73</v>
      </c>
      <c r="D179" s="136" t="s">
        <v>43</v>
      </c>
      <c r="E179" s="136" t="s">
        <v>136</v>
      </c>
      <c r="F179" s="136" t="s">
        <v>500</v>
      </c>
      <c r="G179" s="136" t="s">
        <v>4</v>
      </c>
      <c r="H179" s="157" t="s">
        <v>125</v>
      </c>
      <c r="I179" s="254">
        <f>SUM(I182)</f>
        <v>408310.54000000004</v>
      </c>
      <c r="J179" s="254">
        <f>SUM(J182)</f>
        <v>670200</v>
      </c>
      <c r="K179" s="254">
        <f>SUM(K182)</f>
        <v>670200</v>
      </c>
    </row>
    <row r="180" spans="1:11" ht="40.5">
      <c r="A180" s="139" t="s">
        <v>158</v>
      </c>
      <c r="B180" s="136">
        <v>250</v>
      </c>
      <c r="C180" s="134" t="s">
        <v>73</v>
      </c>
      <c r="D180" s="134" t="s">
        <v>43</v>
      </c>
      <c r="E180" s="134" t="s">
        <v>136</v>
      </c>
      <c r="F180" s="134" t="str">
        <f>F179</f>
        <v>91 5 05 S2370</v>
      </c>
      <c r="G180" s="136">
        <v>200</v>
      </c>
      <c r="H180" s="157"/>
      <c r="I180" s="253">
        <f aca="true" t="shared" si="17" ref="I180:K181">I181</f>
        <v>408310.54000000004</v>
      </c>
      <c r="J180" s="253">
        <f t="shared" si="17"/>
        <v>670200</v>
      </c>
      <c r="K180" s="253">
        <f t="shared" si="17"/>
        <v>670200</v>
      </c>
    </row>
    <row r="181" spans="1:15" ht="27">
      <c r="A181" s="139" t="s">
        <v>256</v>
      </c>
      <c r="B181" s="136">
        <v>250</v>
      </c>
      <c r="C181" s="134" t="s">
        <v>73</v>
      </c>
      <c r="D181" s="134" t="s">
        <v>43</v>
      </c>
      <c r="E181" s="134" t="s">
        <v>136</v>
      </c>
      <c r="F181" s="134" t="str">
        <f>F180</f>
        <v>91 5 05 S2370</v>
      </c>
      <c r="G181" s="134">
        <v>240</v>
      </c>
      <c r="H181" s="157"/>
      <c r="I181" s="253">
        <f t="shared" si="17"/>
        <v>408310.54000000004</v>
      </c>
      <c r="J181" s="253">
        <f t="shared" si="17"/>
        <v>670200</v>
      </c>
      <c r="K181" s="253">
        <f t="shared" si="17"/>
        <v>670200</v>
      </c>
      <c r="O181" s="174"/>
    </row>
    <row r="182" spans="1:15" ht="40.5">
      <c r="A182" s="139" t="s">
        <v>160</v>
      </c>
      <c r="B182" s="136">
        <v>250</v>
      </c>
      <c r="C182" s="134" t="s">
        <v>73</v>
      </c>
      <c r="D182" s="134" t="s">
        <v>43</v>
      </c>
      <c r="E182" s="134" t="s">
        <v>136</v>
      </c>
      <c r="F182" s="134" t="str">
        <f>F181</f>
        <v>91 5 05 S2370</v>
      </c>
      <c r="G182" s="134">
        <v>244</v>
      </c>
      <c r="H182" s="157" t="s">
        <v>125</v>
      </c>
      <c r="I182" s="253">
        <f>I184+I185</f>
        <v>408310.54000000004</v>
      </c>
      <c r="J182" s="253">
        <f>J183+J184+J185</f>
        <v>670200</v>
      </c>
      <c r="K182" s="253">
        <f>K183+K184+K185</f>
        <v>670200</v>
      </c>
      <c r="M182" s="312"/>
      <c r="O182" s="174"/>
    </row>
    <row r="183" spans="1:11" ht="0.75" customHeight="1">
      <c r="A183" s="141" t="s">
        <v>135</v>
      </c>
      <c r="B183" s="136">
        <v>250</v>
      </c>
      <c r="C183" s="134" t="s">
        <v>73</v>
      </c>
      <c r="D183" s="134" t="s">
        <v>43</v>
      </c>
      <c r="E183" s="134" t="s">
        <v>136</v>
      </c>
      <c r="F183" s="134"/>
      <c r="G183" s="134">
        <v>244</v>
      </c>
      <c r="H183" s="134"/>
      <c r="I183" s="253">
        <v>0</v>
      </c>
      <c r="J183" s="255"/>
      <c r="K183" s="255"/>
    </row>
    <row r="184" spans="1:11" ht="15.75" customHeight="1" hidden="1">
      <c r="A184" s="141" t="s">
        <v>161</v>
      </c>
      <c r="B184" s="263">
        <v>250</v>
      </c>
      <c r="C184" s="264" t="s">
        <v>73</v>
      </c>
      <c r="D184" s="264" t="s">
        <v>43</v>
      </c>
      <c r="E184" s="264" t="s">
        <v>136</v>
      </c>
      <c r="F184" s="264" t="str">
        <f>F182</f>
        <v>91 5 05 S2370</v>
      </c>
      <c r="G184" s="264">
        <v>226</v>
      </c>
      <c r="H184" s="134">
        <v>226</v>
      </c>
      <c r="I184" s="253">
        <v>335100</v>
      </c>
      <c r="J184" s="255">
        <v>335100</v>
      </c>
      <c r="K184" s="255">
        <v>335100</v>
      </c>
    </row>
    <row r="185" spans="1:11" ht="25.5" customHeight="1" hidden="1">
      <c r="A185" s="141" t="s">
        <v>135</v>
      </c>
      <c r="B185" s="263">
        <v>250</v>
      </c>
      <c r="C185" s="264" t="s">
        <v>73</v>
      </c>
      <c r="D185" s="264" t="s">
        <v>43</v>
      </c>
      <c r="E185" s="264" t="s">
        <v>136</v>
      </c>
      <c r="F185" s="264" t="str">
        <f aca="true" t="shared" si="18" ref="F185:F191">F184</f>
        <v>91 5 05 S2370</v>
      </c>
      <c r="G185" s="264">
        <v>340</v>
      </c>
      <c r="H185" s="134">
        <v>340</v>
      </c>
      <c r="I185" s="253">
        <f>335100-261889.46</f>
        <v>73210.54000000001</v>
      </c>
      <c r="J185" s="255">
        <v>335100</v>
      </c>
      <c r="K185" s="255">
        <v>335100</v>
      </c>
    </row>
    <row r="186" spans="1:11" ht="54">
      <c r="A186" s="133" t="s">
        <v>349</v>
      </c>
      <c r="B186" s="136">
        <v>250</v>
      </c>
      <c r="C186" s="134" t="s">
        <v>73</v>
      </c>
      <c r="D186" s="134" t="s">
        <v>43</v>
      </c>
      <c r="E186" s="134" t="s">
        <v>136</v>
      </c>
      <c r="F186" s="134" t="str">
        <f t="shared" si="18"/>
        <v>91 5 05 S2370</v>
      </c>
      <c r="G186" s="142" t="s">
        <v>4</v>
      </c>
      <c r="H186" s="157" t="s">
        <v>125</v>
      </c>
      <c r="I186" s="257">
        <f aca="true" t="shared" si="19" ref="I186:K187">I187</f>
        <v>12689.46</v>
      </c>
      <c r="J186" s="257">
        <f t="shared" si="19"/>
        <v>20800</v>
      </c>
      <c r="K186" s="257">
        <f t="shared" si="19"/>
        <v>20800</v>
      </c>
    </row>
    <row r="187" spans="1:15" ht="45" customHeight="1">
      <c r="A187" s="139" t="s">
        <v>158</v>
      </c>
      <c r="B187" s="136">
        <v>250</v>
      </c>
      <c r="C187" s="134" t="s">
        <v>73</v>
      </c>
      <c r="D187" s="134" t="s">
        <v>43</v>
      </c>
      <c r="E187" s="134" t="s">
        <v>136</v>
      </c>
      <c r="F187" s="134" t="str">
        <f t="shared" si="18"/>
        <v>91 5 05 S2370</v>
      </c>
      <c r="G187" s="142" t="s">
        <v>127</v>
      </c>
      <c r="H187" s="157" t="s">
        <v>125</v>
      </c>
      <c r="I187" s="258">
        <f t="shared" si="19"/>
        <v>12689.46</v>
      </c>
      <c r="J187" s="258">
        <f t="shared" si="19"/>
        <v>20800</v>
      </c>
      <c r="K187" s="258">
        <f t="shared" si="19"/>
        <v>20800</v>
      </c>
      <c r="O187" s="174"/>
    </row>
    <row r="188" spans="1:15" ht="27">
      <c r="A188" s="139" t="s">
        <v>256</v>
      </c>
      <c r="B188" s="136">
        <v>250</v>
      </c>
      <c r="C188" s="134" t="s">
        <v>73</v>
      </c>
      <c r="D188" s="134" t="s">
        <v>43</v>
      </c>
      <c r="E188" s="134" t="s">
        <v>136</v>
      </c>
      <c r="F188" s="134" t="str">
        <f t="shared" si="18"/>
        <v>91 5 05 S2370</v>
      </c>
      <c r="G188" s="140" t="s">
        <v>257</v>
      </c>
      <c r="H188" s="157" t="s">
        <v>125</v>
      </c>
      <c r="I188" s="258">
        <f>I189</f>
        <v>12689.46</v>
      </c>
      <c r="J188" s="258">
        <f>J189</f>
        <v>20800</v>
      </c>
      <c r="K188" s="258">
        <f>K189</f>
        <v>20800</v>
      </c>
      <c r="O188" s="174"/>
    </row>
    <row r="189" spans="1:11" ht="43.5" customHeight="1">
      <c r="A189" s="139" t="s">
        <v>160</v>
      </c>
      <c r="B189" s="136">
        <v>250</v>
      </c>
      <c r="C189" s="134" t="s">
        <v>73</v>
      </c>
      <c r="D189" s="134" t="s">
        <v>43</v>
      </c>
      <c r="E189" s="134" t="s">
        <v>136</v>
      </c>
      <c r="F189" s="134" t="str">
        <f t="shared" si="18"/>
        <v>91 5 05 S2370</v>
      </c>
      <c r="G189" s="140" t="s">
        <v>180</v>
      </c>
      <c r="H189" s="157" t="s">
        <v>125</v>
      </c>
      <c r="I189" s="258">
        <f>I190+I191</f>
        <v>12689.46</v>
      </c>
      <c r="J189" s="258">
        <f>J190+J191</f>
        <v>20800</v>
      </c>
      <c r="K189" s="258">
        <f>K190+K191</f>
        <v>20800</v>
      </c>
    </row>
    <row r="190" spans="1:11" ht="13.5" hidden="1">
      <c r="A190" s="141" t="s">
        <v>161</v>
      </c>
      <c r="B190" s="263">
        <v>250</v>
      </c>
      <c r="C190" s="264" t="s">
        <v>73</v>
      </c>
      <c r="D190" s="264" t="s">
        <v>43</v>
      </c>
      <c r="E190" s="264" t="s">
        <v>136</v>
      </c>
      <c r="F190" s="264" t="str">
        <f t="shared" si="18"/>
        <v>91 5 05 S2370</v>
      </c>
      <c r="G190" s="268" t="s">
        <v>157</v>
      </c>
      <c r="H190" s="157" t="s">
        <v>125</v>
      </c>
      <c r="I190" s="258">
        <v>10400</v>
      </c>
      <c r="J190" s="258">
        <v>10400</v>
      </c>
      <c r="K190" s="258">
        <v>10400</v>
      </c>
    </row>
    <row r="191" spans="1:11" ht="24.75" customHeight="1" hidden="1">
      <c r="A191" s="141" t="s">
        <v>135</v>
      </c>
      <c r="B191" s="263">
        <v>250</v>
      </c>
      <c r="C191" s="264" t="s">
        <v>73</v>
      </c>
      <c r="D191" s="264" t="s">
        <v>43</v>
      </c>
      <c r="E191" s="264" t="s">
        <v>136</v>
      </c>
      <c r="F191" s="264" t="str">
        <f t="shared" si="18"/>
        <v>91 5 05 S2370</v>
      </c>
      <c r="G191" s="268" t="s">
        <v>159</v>
      </c>
      <c r="H191" s="140" t="s">
        <v>128</v>
      </c>
      <c r="I191" s="258">
        <f>10400-8110.54</f>
        <v>2289.46</v>
      </c>
      <c r="J191" s="255">
        <v>10400</v>
      </c>
      <c r="K191" s="255">
        <v>10400</v>
      </c>
    </row>
    <row r="192" spans="1:11" ht="69" customHeight="1">
      <c r="A192" s="133" t="s">
        <v>343</v>
      </c>
      <c r="B192" s="136">
        <v>250</v>
      </c>
      <c r="C192" s="136" t="s">
        <v>73</v>
      </c>
      <c r="D192" s="136" t="s">
        <v>43</v>
      </c>
      <c r="E192" s="138"/>
      <c r="F192" s="138" t="s">
        <v>501</v>
      </c>
      <c r="G192" s="142" t="s">
        <v>4</v>
      </c>
      <c r="H192" s="142"/>
      <c r="I192" s="257">
        <f>I194</f>
        <v>50000</v>
      </c>
      <c r="J192" s="252">
        <f>J194</f>
        <v>100000</v>
      </c>
      <c r="K192" s="252">
        <f>K194</f>
        <v>50000</v>
      </c>
    </row>
    <row r="193" spans="1:11" ht="38.25" customHeight="1" hidden="1">
      <c r="A193" s="267" t="s">
        <v>464</v>
      </c>
      <c r="B193" s="136"/>
      <c r="C193" s="136"/>
      <c r="D193" s="136"/>
      <c r="E193" s="138"/>
      <c r="F193" s="138" t="s">
        <v>478</v>
      </c>
      <c r="G193" s="142"/>
      <c r="H193" s="142"/>
      <c r="I193" s="257"/>
      <c r="J193" s="252"/>
      <c r="K193" s="252"/>
    </row>
    <row r="194" spans="1:11" ht="49.5" customHeight="1">
      <c r="A194" s="139" t="s">
        <v>158</v>
      </c>
      <c r="B194" s="136">
        <v>250</v>
      </c>
      <c r="C194" s="134" t="s">
        <v>73</v>
      </c>
      <c r="D194" s="134" t="s">
        <v>43</v>
      </c>
      <c r="E194" s="158"/>
      <c r="F194" s="158" t="str">
        <f>F193</f>
        <v>79 5 03 90140</v>
      </c>
      <c r="G194" s="142" t="s">
        <v>127</v>
      </c>
      <c r="H194" s="140"/>
      <c r="I194" s="258">
        <f aca="true" t="shared" si="20" ref="I194:K196">I195</f>
        <v>50000</v>
      </c>
      <c r="J194" s="255">
        <f t="shared" si="20"/>
        <v>100000</v>
      </c>
      <c r="K194" s="255">
        <f t="shared" si="20"/>
        <v>50000</v>
      </c>
    </row>
    <row r="195" spans="1:11" ht="27.75" customHeight="1">
      <c r="A195" s="139" t="s">
        <v>256</v>
      </c>
      <c r="B195" s="136">
        <v>250</v>
      </c>
      <c r="C195" s="134" t="s">
        <v>73</v>
      </c>
      <c r="D195" s="134" t="s">
        <v>43</v>
      </c>
      <c r="E195" s="158"/>
      <c r="F195" s="158" t="str">
        <f>F194</f>
        <v>79 5 03 90140</v>
      </c>
      <c r="G195" s="140" t="s">
        <v>257</v>
      </c>
      <c r="H195" s="140"/>
      <c r="I195" s="258">
        <f t="shared" si="20"/>
        <v>50000</v>
      </c>
      <c r="J195" s="255">
        <f t="shared" si="20"/>
        <v>100000</v>
      </c>
      <c r="K195" s="255">
        <f t="shared" si="20"/>
        <v>50000</v>
      </c>
    </row>
    <row r="196" spans="1:11" ht="29.25" customHeight="1">
      <c r="A196" s="139" t="s">
        <v>160</v>
      </c>
      <c r="B196" s="136">
        <v>250</v>
      </c>
      <c r="C196" s="134" t="s">
        <v>73</v>
      </c>
      <c r="D196" s="134" t="s">
        <v>43</v>
      </c>
      <c r="E196" s="158"/>
      <c r="F196" s="158" t="str">
        <f>F195</f>
        <v>79 5 03 90140</v>
      </c>
      <c r="G196" s="140" t="s">
        <v>180</v>
      </c>
      <c r="H196" s="140"/>
      <c r="I196" s="258">
        <f t="shared" si="20"/>
        <v>50000</v>
      </c>
      <c r="J196" s="255">
        <f t="shared" si="20"/>
        <v>100000</v>
      </c>
      <c r="K196" s="255">
        <f t="shared" si="20"/>
        <v>50000</v>
      </c>
    </row>
    <row r="197" spans="1:11" ht="24" customHeight="1" hidden="1">
      <c r="A197" s="141" t="s">
        <v>161</v>
      </c>
      <c r="B197" s="263">
        <v>250</v>
      </c>
      <c r="C197" s="264" t="s">
        <v>73</v>
      </c>
      <c r="D197" s="264" t="s">
        <v>43</v>
      </c>
      <c r="E197" s="275"/>
      <c r="F197" s="275" t="s">
        <v>329</v>
      </c>
      <c r="G197" s="268" t="s">
        <v>157</v>
      </c>
      <c r="H197" s="140"/>
      <c r="I197" s="258">
        <f>80000-30000</f>
        <v>50000</v>
      </c>
      <c r="J197" s="255">
        <v>100000</v>
      </c>
      <c r="K197" s="255">
        <v>50000</v>
      </c>
    </row>
    <row r="198" spans="1:11" ht="63.75" customHeight="1">
      <c r="A198" s="133" t="s">
        <v>406</v>
      </c>
      <c r="B198" s="136">
        <v>250</v>
      </c>
      <c r="C198" s="136" t="s">
        <v>73</v>
      </c>
      <c r="D198" s="136" t="s">
        <v>43</v>
      </c>
      <c r="E198" s="138"/>
      <c r="F198" s="138" t="s">
        <v>460</v>
      </c>
      <c r="G198" s="142" t="s">
        <v>4</v>
      </c>
      <c r="H198" s="142"/>
      <c r="I198" s="257">
        <f aca="true" t="shared" si="21" ref="I198:K200">I199</f>
        <v>742383.14</v>
      </c>
      <c r="J198" s="252">
        <f t="shared" si="21"/>
        <v>0</v>
      </c>
      <c r="K198" s="252">
        <f t="shared" si="21"/>
        <v>0</v>
      </c>
    </row>
    <row r="199" spans="1:11" ht="44.25" customHeight="1">
      <c r="A199" s="139" t="str">
        <f>A194</f>
        <v>Закупка товаров, работ,услуг в целях формирования муниципального материального резерва</v>
      </c>
      <c r="B199" s="136">
        <v>250</v>
      </c>
      <c r="C199" s="134" t="s">
        <v>73</v>
      </c>
      <c r="D199" s="134" t="s">
        <v>43</v>
      </c>
      <c r="E199" s="158"/>
      <c r="F199" s="158" t="str">
        <f>F198</f>
        <v>91 5 F2 55551</v>
      </c>
      <c r="G199" s="142" t="s">
        <v>127</v>
      </c>
      <c r="H199" s="140"/>
      <c r="I199" s="258">
        <f t="shared" si="21"/>
        <v>742383.14</v>
      </c>
      <c r="J199" s="255">
        <f t="shared" si="21"/>
        <v>0</v>
      </c>
      <c r="K199" s="255">
        <f t="shared" si="21"/>
        <v>0</v>
      </c>
    </row>
    <row r="200" spans="1:11" ht="34.5" customHeight="1">
      <c r="A200" s="139" t="str">
        <f>A195</f>
        <v>Иные закупки товаров,работ и услуг для муниципальных нужд</v>
      </c>
      <c r="B200" s="136">
        <v>250</v>
      </c>
      <c r="C200" s="134" t="s">
        <v>73</v>
      </c>
      <c r="D200" s="134" t="s">
        <v>43</v>
      </c>
      <c r="E200" s="158"/>
      <c r="F200" s="158" t="str">
        <f>F199</f>
        <v>91 5 F2 55551</v>
      </c>
      <c r="G200" s="140" t="s">
        <v>257</v>
      </c>
      <c r="H200" s="140"/>
      <c r="I200" s="258">
        <f t="shared" si="21"/>
        <v>742383.14</v>
      </c>
      <c r="J200" s="255">
        <f t="shared" si="21"/>
        <v>0</v>
      </c>
      <c r="K200" s="255">
        <f t="shared" si="21"/>
        <v>0</v>
      </c>
    </row>
    <row r="201" spans="1:11" ht="33.75" customHeight="1">
      <c r="A201" s="139" t="str">
        <f>A196</f>
        <v>Прочая закупка товаров,работ,услуг для муниципальных нужд</v>
      </c>
      <c r="B201" s="136">
        <f>B200</f>
        <v>250</v>
      </c>
      <c r="C201" s="134" t="str">
        <f>C200</f>
        <v>О5</v>
      </c>
      <c r="D201" s="134" t="str">
        <f>D200</f>
        <v>О3</v>
      </c>
      <c r="E201" s="158"/>
      <c r="F201" s="158" t="str">
        <f>F200</f>
        <v>91 5 F2 55551</v>
      </c>
      <c r="G201" s="140" t="s">
        <v>180</v>
      </c>
      <c r="H201" s="140"/>
      <c r="I201" s="258">
        <f>I202+I203+I204</f>
        <v>742383.14</v>
      </c>
      <c r="J201" s="255">
        <f>J202+J203+J204</f>
        <v>0</v>
      </c>
      <c r="K201" s="255">
        <f>K202+K203+K204</f>
        <v>0</v>
      </c>
    </row>
    <row r="202" spans="1:11" ht="24" customHeight="1" hidden="1">
      <c r="A202" s="141" t="str">
        <f>A175</f>
        <v>Прочие работы, услуги</v>
      </c>
      <c r="B202" s="263">
        <f aca="true" t="shared" si="22" ref="B202:D203">B203</f>
        <v>250</v>
      </c>
      <c r="C202" s="264" t="str">
        <f t="shared" si="22"/>
        <v>О5</v>
      </c>
      <c r="D202" s="264" t="str">
        <f t="shared" si="22"/>
        <v>О3</v>
      </c>
      <c r="E202" s="275"/>
      <c r="F202" s="275" t="str">
        <f>F203</f>
        <v>91 5 F2 55551</v>
      </c>
      <c r="G202" s="268" t="s">
        <v>157</v>
      </c>
      <c r="H202" s="140"/>
      <c r="I202" s="258">
        <f>112018.9</f>
        <v>112018.9</v>
      </c>
      <c r="J202" s="255">
        <v>0</v>
      </c>
      <c r="K202" s="255">
        <v>0</v>
      </c>
    </row>
    <row r="203" spans="1:11" ht="28.5" customHeight="1" hidden="1">
      <c r="A203" s="141" t="str">
        <f>A176</f>
        <v>Увеличение стоимости основных средств</v>
      </c>
      <c r="B203" s="263">
        <f t="shared" si="22"/>
        <v>250</v>
      </c>
      <c r="C203" s="264" t="str">
        <f t="shared" si="22"/>
        <v>О5</v>
      </c>
      <c r="D203" s="264" t="str">
        <f t="shared" si="22"/>
        <v>О3</v>
      </c>
      <c r="E203" s="275"/>
      <c r="F203" s="275" t="str">
        <f>F204</f>
        <v>91 5 F2 55551</v>
      </c>
      <c r="G203" s="268" t="s">
        <v>407</v>
      </c>
      <c r="H203" s="140"/>
      <c r="I203" s="258">
        <f>69587.6</f>
        <v>69587.6</v>
      </c>
      <c r="J203" s="255">
        <v>0</v>
      </c>
      <c r="K203" s="255">
        <v>0</v>
      </c>
    </row>
    <row r="204" spans="1:11" ht="28.5" customHeight="1" hidden="1">
      <c r="A204" s="141" t="str">
        <f>A191</f>
        <v>Увеличение стоимости материальных запасов </v>
      </c>
      <c r="B204" s="263">
        <f>B201</f>
        <v>250</v>
      </c>
      <c r="C204" s="264" t="str">
        <f>C201</f>
        <v>О5</v>
      </c>
      <c r="D204" s="264" t="str">
        <f>D201</f>
        <v>О3</v>
      </c>
      <c r="E204" s="275"/>
      <c r="F204" s="275" t="str">
        <f>F201</f>
        <v>91 5 F2 55551</v>
      </c>
      <c r="G204" s="268" t="s">
        <v>159</v>
      </c>
      <c r="H204" s="140"/>
      <c r="I204" s="258">
        <f>560776.64</f>
        <v>560776.64</v>
      </c>
      <c r="J204" s="255">
        <v>0</v>
      </c>
      <c r="K204" s="255">
        <v>0</v>
      </c>
    </row>
    <row r="205" spans="1:13" ht="54">
      <c r="A205" s="133" t="s">
        <v>408</v>
      </c>
      <c r="B205" s="136">
        <v>250</v>
      </c>
      <c r="C205" s="136" t="s">
        <v>73</v>
      </c>
      <c r="D205" s="136" t="s">
        <v>43</v>
      </c>
      <c r="E205" s="138"/>
      <c r="F205" s="138" t="s">
        <v>460</v>
      </c>
      <c r="G205" s="142" t="s">
        <v>4</v>
      </c>
      <c r="H205" s="142"/>
      <c r="I205" s="257">
        <f aca="true" t="shared" si="23" ref="I205:K207">I206</f>
        <v>5295</v>
      </c>
      <c r="J205" s="252">
        <f t="shared" si="23"/>
        <v>0</v>
      </c>
      <c r="K205" s="252">
        <f t="shared" si="23"/>
        <v>0</v>
      </c>
      <c r="M205" s="312"/>
    </row>
    <row r="206" spans="1:11" ht="39.75" customHeight="1">
      <c r="A206" s="139" t="str">
        <f aca="true" t="shared" si="24" ref="A206:A211">A199</f>
        <v>Закупка товаров, работ,услуг в целях формирования муниципального материального резерва</v>
      </c>
      <c r="B206" s="136">
        <v>250</v>
      </c>
      <c r="C206" s="134" t="s">
        <v>73</v>
      </c>
      <c r="D206" s="134" t="s">
        <v>43</v>
      </c>
      <c r="E206" s="158"/>
      <c r="F206" s="158" t="str">
        <f>F205</f>
        <v>91 5 F2 55551</v>
      </c>
      <c r="G206" s="142" t="s">
        <v>127</v>
      </c>
      <c r="H206" s="140"/>
      <c r="I206" s="258">
        <f t="shared" si="23"/>
        <v>5295</v>
      </c>
      <c r="J206" s="255">
        <f t="shared" si="23"/>
        <v>0</v>
      </c>
      <c r="K206" s="255">
        <f t="shared" si="23"/>
        <v>0</v>
      </c>
    </row>
    <row r="207" spans="1:11" ht="28.5" customHeight="1">
      <c r="A207" s="139" t="str">
        <f t="shared" si="24"/>
        <v>Иные закупки товаров,работ и услуг для муниципальных нужд</v>
      </c>
      <c r="B207" s="136">
        <v>250</v>
      </c>
      <c r="C207" s="134" t="s">
        <v>73</v>
      </c>
      <c r="D207" s="134" t="s">
        <v>43</v>
      </c>
      <c r="E207" s="158"/>
      <c r="F207" s="158" t="str">
        <f>F206</f>
        <v>91 5 F2 55551</v>
      </c>
      <c r="G207" s="140" t="s">
        <v>257</v>
      </c>
      <c r="H207" s="140"/>
      <c r="I207" s="258">
        <f t="shared" si="23"/>
        <v>5295</v>
      </c>
      <c r="J207" s="255">
        <f t="shared" si="23"/>
        <v>0</v>
      </c>
      <c r="K207" s="255">
        <f t="shared" si="23"/>
        <v>0</v>
      </c>
    </row>
    <row r="208" spans="1:11" ht="28.5" customHeight="1">
      <c r="A208" s="139" t="str">
        <f t="shared" si="24"/>
        <v>Прочая закупка товаров,работ,услуг для муниципальных нужд</v>
      </c>
      <c r="B208" s="136">
        <f>B207</f>
        <v>250</v>
      </c>
      <c r="C208" s="134" t="str">
        <f>C207</f>
        <v>О5</v>
      </c>
      <c r="D208" s="134" t="str">
        <f>D207</f>
        <v>О3</v>
      </c>
      <c r="E208" s="158"/>
      <c r="F208" s="158" t="str">
        <f>F207</f>
        <v>91 5 F2 55551</v>
      </c>
      <c r="G208" s="140" t="s">
        <v>180</v>
      </c>
      <c r="H208" s="140"/>
      <c r="I208" s="258">
        <f>I209+I210+I211</f>
        <v>5295</v>
      </c>
      <c r="J208" s="255">
        <f>J209+J210+J211</f>
        <v>0</v>
      </c>
      <c r="K208" s="255">
        <f>K209+K210+K211</f>
        <v>0</v>
      </c>
    </row>
    <row r="209" spans="1:11" ht="28.5" customHeight="1" hidden="1">
      <c r="A209" s="141" t="str">
        <f t="shared" si="24"/>
        <v>Прочие работы, услуги</v>
      </c>
      <c r="B209" s="263">
        <f aca="true" t="shared" si="25" ref="B209:D210">B210</f>
        <v>250</v>
      </c>
      <c r="C209" s="264" t="str">
        <f t="shared" si="25"/>
        <v>О5</v>
      </c>
      <c r="D209" s="264" t="str">
        <f t="shared" si="25"/>
        <v>О3</v>
      </c>
      <c r="E209" s="275"/>
      <c r="F209" s="275" t="str">
        <f>F210</f>
        <v>91 5 F2 55551</v>
      </c>
      <c r="G209" s="268" t="s">
        <v>157</v>
      </c>
      <c r="H209" s="140"/>
      <c r="I209" s="258">
        <f>663.86+298.46</f>
        <v>962.3199999999999</v>
      </c>
      <c r="J209" s="255">
        <v>0</v>
      </c>
      <c r="K209" s="255">
        <v>0</v>
      </c>
    </row>
    <row r="210" spans="1:11" ht="28.5" customHeight="1" hidden="1">
      <c r="A210" s="141" t="str">
        <f t="shared" si="24"/>
        <v>Увеличение стоимости основных средств</v>
      </c>
      <c r="B210" s="263">
        <f t="shared" si="25"/>
        <v>250</v>
      </c>
      <c r="C210" s="264" t="str">
        <f t="shared" si="25"/>
        <v>О5</v>
      </c>
      <c r="D210" s="264" t="str">
        <f t="shared" si="25"/>
        <v>О3</v>
      </c>
      <c r="E210" s="275"/>
      <c r="F210" s="275" t="str">
        <f>F211</f>
        <v>91 5 F2 55551</v>
      </c>
      <c r="G210" s="268" t="s">
        <v>407</v>
      </c>
      <c r="H210" s="140"/>
      <c r="I210" s="258">
        <f>412.4+298.46</f>
        <v>710.8599999999999</v>
      </c>
      <c r="J210" s="255">
        <v>0</v>
      </c>
      <c r="K210" s="255">
        <v>0</v>
      </c>
    </row>
    <row r="211" spans="1:11" ht="33.75" customHeight="1" hidden="1">
      <c r="A211" s="141" t="str">
        <f t="shared" si="24"/>
        <v>Увеличение стоимости материальных запасов </v>
      </c>
      <c r="B211" s="263">
        <f>B208</f>
        <v>250</v>
      </c>
      <c r="C211" s="264" t="str">
        <f>C208</f>
        <v>О5</v>
      </c>
      <c r="D211" s="264" t="str">
        <f>D208</f>
        <v>О3</v>
      </c>
      <c r="E211" s="275"/>
      <c r="F211" s="275" t="str">
        <f>F208</f>
        <v>91 5 F2 55551</v>
      </c>
      <c r="G211" s="268" t="s">
        <v>159</v>
      </c>
      <c r="H211" s="140"/>
      <c r="I211" s="258">
        <f>3323.36+298.46</f>
        <v>3621.82</v>
      </c>
      <c r="J211" s="255">
        <v>0</v>
      </c>
      <c r="K211" s="255">
        <v>0</v>
      </c>
    </row>
    <row r="212" spans="1:11" ht="92.25" customHeight="1">
      <c r="A212" s="133" t="s">
        <v>524</v>
      </c>
      <c r="B212" s="136">
        <v>250</v>
      </c>
      <c r="C212" s="136" t="s">
        <v>73</v>
      </c>
      <c r="D212" s="136" t="s">
        <v>43</v>
      </c>
      <c r="E212" s="138"/>
      <c r="F212" s="138" t="s">
        <v>522</v>
      </c>
      <c r="G212" s="142" t="s">
        <v>4</v>
      </c>
      <c r="H212" s="142"/>
      <c r="I212" s="257">
        <f aca="true" t="shared" si="26" ref="I212:K215">I213</f>
        <v>1019730.72</v>
      </c>
      <c r="J212" s="252">
        <f t="shared" si="26"/>
        <v>0</v>
      </c>
      <c r="K212" s="252">
        <f t="shared" si="26"/>
        <v>0</v>
      </c>
    </row>
    <row r="213" spans="1:11" ht="44.25" customHeight="1">
      <c r="A213" s="139" t="str">
        <f>A206</f>
        <v>Закупка товаров, работ,услуг в целях формирования муниципального материального резерва</v>
      </c>
      <c r="B213" s="136">
        <f aca="true" t="shared" si="27" ref="B213:D215">B214</f>
        <v>250</v>
      </c>
      <c r="C213" s="134" t="str">
        <f t="shared" si="27"/>
        <v>О5</v>
      </c>
      <c r="D213" s="134" t="str">
        <f t="shared" si="27"/>
        <v>О3</v>
      </c>
      <c r="E213" s="158"/>
      <c r="F213" s="158" t="str">
        <f>F214</f>
        <v>91 Л 02 L5762</v>
      </c>
      <c r="G213" s="140" t="s">
        <v>127</v>
      </c>
      <c r="H213" s="140"/>
      <c r="I213" s="258">
        <f t="shared" si="26"/>
        <v>1019730.72</v>
      </c>
      <c r="J213" s="255">
        <f t="shared" si="26"/>
        <v>0</v>
      </c>
      <c r="K213" s="255">
        <f t="shared" si="26"/>
        <v>0</v>
      </c>
    </row>
    <row r="214" spans="1:11" ht="33.75" customHeight="1">
      <c r="A214" s="139" t="str">
        <f>A207</f>
        <v>Иные закупки товаров,работ и услуг для муниципальных нужд</v>
      </c>
      <c r="B214" s="136">
        <f t="shared" si="27"/>
        <v>250</v>
      </c>
      <c r="C214" s="134" t="str">
        <f t="shared" si="27"/>
        <v>О5</v>
      </c>
      <c r="D214" s="134" t="str">
        <f t="shared" si="27"/>
        <v>О3</v>
      </c>
      <c r="E214" s="158"/>
      <c r="F214" s="158" t="str">
        <f>F215</f>
        <v>91 Л 02 L5762</v>
      </c>
      <c r="G214" s="140" t="s">
        <v>257</v>
      </c>
      <c r="H214" s="140"/>
      <c r="I214" s="258">
        <f t="shared" si="26"/>
        <v>1019730.72</v>
      </c>
      <c r="J214" s="255">
        <f t="shared" si="26"/>
        <v>0</v>
      </c>
      <c r="K214" s="255">
        <f t="shared" si="26"/>
        <v>0</v>
      </c>
    </row>
    <row r="215" spans="1:11" ht="33.75" customHeight="1">
      <c r="A215" s="139" t="str">
        <f>A208</f>
        <v>Прочая закупка товаров,работ,услуг для муниципальных нужд</v>
      </c>
      <c r="B215" s="136">
        <f t="shared" si="27"/>
        <v>250</v>
      </c>
      <c r="C215" s="134" t="str">
        <f t="shared" si="27"/>
        <v>О5</v>
      </c>
      <c r="D215" s="134" t="str">
        <f t="shared" si="27"/>
        <v>О3</v>
      </c>
      <c r="E215" s="158"/>
      <c r="F215" s="158" t="str">
        <f>F216</f>
        <v>91 Л 02 L5762</v>
      </c>
      <c r="G215" s="140" t="s">
        <v>180</v>
      </c>
      <c r="H215" s="140"/>
      <c r="I215" s="258">
        <f t="shared" si="26"/>
        <v>1019730.72</v>
      </c>
      <c r="J215" s="255">
        <f t="shared" si="26"/>
        <v>0</v>
      </c>
      <c r="K215" s="255">
        <f t="shared" si="26"/>
        <v>0</v>
      </c>
    </row>
    <row r="216" spans="1:11" ht="33.75" customHeight="1" hidden="1">
      <c r="A216" s="141" t="s">
        <v>156</v>
      </c>
      <c r="B216" s="263">
        <v>250</v>
      </c>
      <c r="C216" s="264" t="s">
        <v>73</v>
      </c>
      <c r="D216" s="264" t="s">
        <v>43</v>
      </c>
      <c r="E216" s="275"/>
      <c r="F216" s="275" t="s">
        <v>522</v>
      </c>
      <c r="G216" s="268" t="s">
        <v>157</v>
      </c>
      <c r="H216" s="140"/>
      <c r="I216" s="258">
        <f>1019730.72</f>
        <v>1019730.72</v>
      </c>
      <c r="J216" s="255">
        <v>0</v>
      </c>
      <c r="K216" s="255">
        <v>0</v>
      </c>
    </row>
    <row r="217" spans="1:11" ht="100.5" customHeight="1">
      <c r="A217" s="133" t="s">
        <v>525</v>
      </c>
      <c r="B217" s="136">
        <f>B218</f>
        <v>250</v>
      </c>
      <c r="C217" s="136" t="str">
        <f>C218</f>
        <v>О5</v>
      </c>
      <c r="D217" s="136" t="str">
        <f>D218</f>
        <v>О3</v>
      </c>
      <c r="E217" s="138"/>
      <c r="F217" s="138" t="str">
        <f>F218</f>
        <v>91 Л 02 L5762</v>
      </c>
      <c r="G217" s="142" t="s">
        <v>4</v>
      </c>
      <c r="H217" s="142"/>
      <c r="I217" s="257">
        <f aca="true" t="shared" si="28" ref="I217:K220">I218</f>
        <v>60000</v>
      </c>
      <c r="J217" s="252">
        <f t="shared" si="28"/>
        <v>0</v>
      </c>
      <c r="K217" s="252">
        <f t="shared" si="28"/>
        <v>0</v>
      </c>
    </row>
    <row r="218" spans="1:11" ht="47.25" customHeight="1">
      <c r="A218" s="139" t="str">
        <f>A213</f>
        <v>Закупка товаров, работ,услуг в целях формирования муниципального материального резерва</v>
      </c>
      <c r="B218" s="136">
        <v>250</v>
      </c>
      <c r="C218" s="134" t="str">
        <f aca="true" t="shared" si="29" ref="C218:D220">C219</f>
        <v>О5</v>
      </c>
      <c r="D218" s="134" t="str">
        <f t="shared" si="29"/>
        <v>О3</v>
      </c>
      <c r="E218" s="158"/>
      <c r="F218" s="158" t="str">
        <f>F219</f>
        <v>91 Л 02 L5762</v>
      </c>
      <c r="G218" s="140" t="s">
        <v>127</v>
      </c>
      <c r="H218" s="140"/>
      <c r="I218" s="258">
        <f t="shared" si="28"/>
        <v>60000</v>
      </c>
      <c r="J218" s="255">
        <f t="shared" si="28"/>
        <v>0</v>
      </c>
      <c r="K218" s="255">
        <f t="shared" si="28"/>
        <v>0</v>
      </c>
    </row>
    <row r="219" spans="1:11" ht="33.75" customHeight="1">
      <c r="A219" s="139" t="str">
        <f>A214</f>
        <v>Иные закупки товаров,работ и услуг для муниципальных нужд</v>
      </c>
      <c r="B219" s="136">
        <f>B220</f>
        <v>250</v>
      </c>
      <c r="C219" s="134" t="str">
        <f t="shared" si="29"/>
        <v>О5</v>
      </c>
      <c r="D219" s="134" t="str">
        <f t="shared" si="29"/>
        <v>О3</v>
      </c>
      <c r="E219" s="158"/>
      <c r="F219" s="158" t="str">
        <f>F220</f>
        <v>91 Л 02 L5762</v>
      </c>
      <c r="G219" s="140" t="s">
        <v>257</v>
      </c>
      <c r="H219" s="140"/>
      <c r="I219" s="258">
        <f t="shared" si="28"/>
        <v>60000</v>
      </c>
      <c r="J219" s="255">
        <f t="shared" si="28"/>
        <v>0</v>
      </c>
      <c r="K219" s="255">
        <f t="shared" si="28"/>
        <v>0</v>
      </c>
    </row>
    <row r="220" spans="1:11" ht="33.75" customHeight="1">
      <c r="A220" s="139" t="str">
        <f>A215</f>
        <v>Прочая закупка товаров,работ,услуг для муниципальных нужд</v>
      </c>
      <c r="B220" s="136">
        <f>B221</f>
        <v>250</v>
      </c>
      <c r="C220" s="134" t="str">
        <f t="shared" si="29"/>
        <v>О5</v>
      </c>
      <c r="D220" s="134" t="str">
        <f t="shared" si="29"/>
        <v>О3</v>
      </c>
      <c r="E220" s="158"/>
      <c r="F220" s="158" t="str">
        <f>F221</f>
        <v>91 Л 02 L5762</v>
      </c>
      <c r="G220" s="140" t="s">
        <v>180</v>
      </c>
      <c r="H220" s="140"/>
      <c r="I220" s="258">
        <f t="shared" si="28"/>
        <v>60000</v>
      </c>
      <c r="J220" s="255">
        <f t="shared" si="28"/>
        <v>0</v>
      </c>
      <c r="K220" s="255">
        <f t="shared" si="28"/>
        <v>0</v>
      </c>
    </row>
    <row r="221" spans="1:13" ht="33.75" customHeight="1" hidden="1">
      <c r="A221" s="141" t="str">
        <f>A216</f>
        <v>Прочие работы,услуги</v>
      </c>
      <c r="B221" s="263">
        <v>250</v>
      </c>
      <c r="C221" s="264" t="s">
        <v>73</v>
      </c>
      <c r="D221" s="264" t="s">
        <v>43</v>
      </c>
      <c r="E221" s="275"/>
      <c r="F221" s="275" t="s">
        <v>522</v>
      </c>
      <c r="G221" s="268" t="s">
        <v>157</v>
      </c>
      <c r="H221" s="140"/>
      <c r="I221" s="261">
        <f>60000</f>
        <v>60000</v>
      </c>
      <c r="J221" s="255">
        <v>0</v>
      </c>
      <c r="K221" s="255">
        <v>0</v>
      </c>
      <c r="M221" s="310" t="s">
        <v>523</v>
      </c>
    </row>
    <row r="222" spans="1:13" ht="73.5" customHeight="1">
      <c r="A222" s="133" t="s">
        <v>526</v>
      </c>
      <c r="B222" s="136">
        <f>B223</f>
        <v>250</v>
      </c>
      <c r="C222" s="136" t="str">
        <f>C223</f>
        <v>О5</v>
      </c>
      <c r="D222" s="136" t="str">
        <f>D223</f>
        <v>О3</v>
      </c>
      <c r="E222" s="138"/>
      <c r="F222" s="138" t="str">
        <f>F223</f>
        <v>91 Л 02 S2870</v>
      </c>
      <c r="G222" s="142" t="s">
        <v>4</v>
      </c>
      <c r="H222" s="142"/>
      <c r="I222" s="319">
        <f aca="true" t="shared" si="30" ref="I222:K225">I223</f>
        <v>2980269.28</v>
      </c>
      <c r="J222" s="252">
        <f t="shared" si="30"/>
        <v>0</v>
      </c>
      <c r="K222" s="252">
        <f t="shared" si="30"/>
        <v>0</v>
      </c>
      <c r="M222" s="191"/>
    </row>
    <row r="223" spans="1:13" ht="48" customHeight="1">
      <c r="A223" s="139" t="str">
        <f>A218</f>
        <v>Закупка товаров, работ,услуг в целях формирования муниципального материального резерва</v>
      </c>
      <c r="B223" s="136">
        <v>250</v>
      </c>
      <c r="C223" s="134" t="str">
        <f aca="true" t="shared" si="31" ref="C223:D225">C224</f>
        <v>О5</v>
      </c>
      <c r="D223" s="134" t="str">
        <f t="shared" si="31"/>
        <v>О3</v>
      </c>
      <c r="E223" s="158"/>
      <c r="F223" s="158" t="str">
        <f>F224</f>
        <v>91 Л 02 S2870</v>
      </c>
      <c r="G223" s="140" t="s">
        <v>127</v>
      </c>
      <c r="H223" s="140"/>
      <c r="I223" s="261">
        <f t="shared" si="30"/>
        <v>2980269.28</v>
      </c>
      <c r="J223" s="255">
        <f t="shared" si="30"/>
        <v>0</v>
      </c>
      <c r="K223" s="255">
        <f t="shared" si="30"/>
        <v>0</v>
      </c>
      <c r="M223" s="191"/>
    </row>
    <row r="224" spans="1:13" ht="33.75" customHeight="1">
      <c r="A224" s="139" t="str">
        <f>A219</f>
        <v>Иные закупки товаров,работ и услуг для муниципальных нужд</v>
      </c>
      <c r="B224" s="136">
        <f>B225</f>
        <v>250</v>
      </c>
      <c r="C224" s="134" t="str">
        <f t="shared" si="31"/>
        <v>О5</v>
      </c>
      <c r="D224" s="134" t="str">
        <f t="shared" si="31"/>
        <v>О3</v>
      </c>
      <c r="E224" s="158"/>
      <c r="F224" s="158" t="str">
        <f>F225</f>
        <v>91 Л 02 S2870</v>
      </c>
      <c r="G224" s="140" t="s">
        <v>257</v>
      </c>
      <c r="H224" s="140"/>
      <c r="I224" s="261">
        <f t="shared" si="30"/>
        <v>2980269.28</v>
      </c>
      <c r="J224" s="255">
        <f t="shared" si="30"/>
        <v>0</v>
      </c>
      <c r="K224" s="255">
        <f t="shared" si="30"/>
        <v>0</v>
      </c>
      <c r="M224" s="191"/>
    </row>
    <row r="225" spans="1:13" ht="33.75" customHeight="1">
      <c r="A225" s="139" t="str">
        <f>A220</f>
        <v>Прочая закупка товаров,работ,услуг для муниципальных нужд</v>
      </c>
      <c r="B225" s="136">
        <f>B226</f>
        <v>250</v>
      </c>
      <c r="C225" s="134" t="str">
        <f t="shared" si="31"/>
        <v>О5</v>
      </c>
      <c r="D225" s="134" t="str">
        <f t="shared" si="31"/>
        <v>О3</v>
      </c>
      <c r="E225" s="158"/>
      <c r="F225" s="158" t="str">
        <f>F226</f>
        <v>91 Л 02 S2870</v>
      </c>
      <c r="G225" s="140" t="s">
        <v>180</v>
      </c>
      <c r="H225" s="140"/>
      <c r="I225" s="261">
        <f t="shared" si="30"/>
        <v>2980269.28</v>
      </c>
      <c r="J225" s="255">
        <f t="shared" si="30"/>
        <v>0</v>
      </c>
      <c r="K225" s="255">
        <f t="shared" si="30"/>
        <v>0</v>
      </c>
      <c r="M225" s="191"/>
    </row>
    <row r="226" spans="1:13" ht="33.75" customHeight="1" hidden="1">
      <c r="A226" s="141" t="s">
        <v>161</v>
      </c>
      <c r="B226" s="263">
        <v>250</v>
      </c>
      <c r="C226" s="264" t="s">
        <v>73</v>
      </c>
      <c r="D226" s="264" t="s">
        <v>43</v>
      </c>
      <c r="E226" s="275"/>
      <c r="F226" s="275" t="s">
        <v>527</v>
      </c>
      <c r="G226" s="268" t="s">
        <v>157</v>
      </c>
      <c r="H226" s="140"/>
      <c r="I226" s="320">
        <v>2980269.28</v>
      </c>
      <c r="J226" s="266">
        <v>0</v>
      </c>
      <c r="K226" s="266">
        <v>0</v>
      </c>
      <c r="M226" s="191"/>
    </row>
    <row r="227" spans="1:13" ht="83.25" customHeight="1">
      <c r="A227" s="133" t="s">
        <v>528</v>
      </c>
      <c r="B227" s="136">
        <f>B228</f>
        <v>250</v>
      </c>
      <c r="C227" s="136" t="str">
        <f>C228</f>
        <v>О5</v>
      </c>
      <c r="D227" s="136" t="str">
        <f>D228</f>
        <v>О3</v>
      </c>
      <c r="E227" s="138"/>
      <c r="F227" s="138" t="str">
        <f>F228</f>
        <v>91 Л 02 S2870</v>
      </c>
      <c r="G227" s="142" t="s">
        <v>4</v>
      </c>
      <c r="H227" s="142"/>
      <c r="I227" s="319">
        <f aca="true" t="shared" si="32" ref="I227:K230">I228</f>
        <v>62000</v>
      </c>
      <c r="J227" s="252">
        <f t="shared" si="32"/>
        <v>0</v>
      </c>
      <c r="K227" s="252">
        <f t="shared" si="32"/>
        <v>0</v>
      </c>
      <c r="M227" s="191"/>
    </row>
    <row r="228" spans="1:13" ht="45.75" customHeight="1">
      <c r="A228" s="139" t="str">
        <f>A223</f>
        <v>Закупка товаров, работ,услуг в целях формирования муниципального материального резерва</v>
      </c>
      <c r="B228" s="136">
        <v>250</v>
      </c>
      <c r="C228" s="134" t="str">
        <f aca="true" t="shared" si="33" ref="C228:D230">C229</f>
        <v>О5</v>
      </c>
      <c r="D228" s="134" t="str">
        <f t="shared" si="33"/>
        <v>О3</v>
      </c>
      <c r="E228" s="158"/>
      <c r="F228" s="158" t="str">
        <f>F229</f>
        <v>91 Л 02 S2870</v>
      </c>
      <c r="G228" s="140" t="s">
        <v>127</v>
      </c>
      <c r="H228" s="140"/>
      <c r="I228" s="261">
        <f t="shared" si="32"/>
        <v>62000</v>
      </c>
      <c r="J228" s="255">
        <f t="shared" si="32"/>
        <v>0</v>
      </c>
      <c r="K228" s="255">
        <f t="shared" si="32"/>
        <v>0</v>
      </c>
      <c r="M228" s="191"/>
    </row>
    <row r="229" spans="1:13" ht="33.75" customHeight="1">
      <c r="A229" s="139" t="str">
        <f>A224</f>
        <v>Иные закупки товаров,работ и услуг для муниципальных нужд</v>
      </c>
      <c r="B229" s="136">
        <f>B230</f>
        <v>250</v>
      </c>
      <c r="C229" s="134" t="str">
        <f t="shared" si="33"/>
        <v>О5</v>
      </c>
      <c r="D229" s="134" t="str">
        <f t="shared" si="33"/>
        <v>О3</v>
      </c>
      <c r="E229" s="158"/>
      <c r="F229" s="158" t="str">
        <f>F230</f>
        <v>91 Л 02 S2870</v>
      </c>
      <c r="G229" s="140" t="s">
        <v>257</v>
      </c>
      <c r="H229" s="140"/>
      <c r="I229" s="261">
        <f t="shared" si="32"/>
        <v>62000</v>
      </c>
      <c r="J229" s="255">
        <f t="shared" si="32"/>
        <v>0</v>
      </c>
      <c r="K229" s="255">
        <f t="shared" si="32"/>
        <v>0</v>
      </c>
      <c r="M229" s="191"/>
    </row>
    <row r="230" spans="1:13" ht="33.75" customHeight="1">
      <c r="A230" s="139" t="str">
        <f>A225</f>
        <v>Прочая закупка товаров,работ,услуг для муниципальных нужд</v>
      </c>
      <c r="B230" s="136">
        <f>B231</f>
        <v>250</v>
      </c>
      <c r="C230" s="134" t="str">
        <f t="shared" si="33"/>
        <v>О5</v>
      </c>
      <c r="D230" s="134" t="str">
        <f t="shared" si="33"/>
        <v>О3</v>
      </c>
      <c r="E230" s="158"/>
      <c r="F230" s="158" t="str">
        <f>F231</f>
        <v>91 Л 02 S2870</v>
      </c>
      <c r="G230" s="140" t="s">
        <v>180</v>
      </c>
      <c r="H230" s="140"/>
      <c r="I230" s="261">
        <f t="shared" si="32"/>
        <v>62000</v>
      </c>
      <c r="J230" s="255">
        <f t="shared" si="32"/>
        <v>0</v>
      </c>
      <c r="K230" s="255">
        <f t="shared" si="32"/>
        <v>0</v>
      </c>
      <c r="M230" s="321"/>
    </row>
    <row r="231" spans="1:13" ht="33.75" customHeight="1" hidden="1">
      <c r="A231" s="141" t="str">
        <f>A226</f>
        <v>Прочие работы, услуги</v>
      </c>
      <c r="B231" s="263">
        <f>B226</f>
        <v>250</v>
      </c>
      <c r="C231" s="264" t="str">
        <f>C226</f>
        <v>О5</v>
      </c>
      <c r="D231" s="264" t="str">
        <f>D226</f>
        <v>О3</v>
      </c>
      <c r="E231" s="275"/>
      <c r="F231" s="275" t="str">
        <f>F226</f>
        <v>91 Л 02 S2870</v>
      </c>
      <c r="G231" s="268" t="s">
        <v>157</v>
      </c>
      <c r="H231" s="140"/>
      <c r="I231" s="320">
        <v>62000</v>
      </c>
      <c r="J231" s="266">
        <v>0</v>
      </c>
      <c r="K231" s="266">
        <v>0</v>
      </c>
      <c r="M231" s="191"/>
    </row>
    <row r="232" spans="1:11" ht="27">
      <c r="A232" s="133" t="s">
        <v>399</v>
      </c>
      <c r="B232" s="136">
        <v>250</v>
      </c>
      <c r="C232" s="138">
        <v>13</v>
      </c>
      <c r="D232" s="142" t="s">
        <v>123</v>
      </c>
      <c r="E232" s="136" t="s">
        <v>3</v>
      </c>
      <c r="F232" s="136" t="s">
        <v>502</v>
      </c>
      <c r="G232" s="138" t="s">
        <v>4</v>
      </c>
      <c r="H232" s="157" t="s">
        <v>125</v>
      </c>
      <c r="I232" s="252">
        <f aca="true" t="shared" si="34" ref="I232:K233">I233</f>
        <v>0</v>
      </c>
      <c r="J232" s="252">
        <f t="shared" si="34"/>
        <v>1000</v>
      </c>
      <c r="K232" s="252">
        <f t="shared" si="34"/>
        <v>1000</v>
      </c>
    </row>
    <row r="233" spans="1:11" ht="40.5">
      <c r="A233" s="139" t="s">
        <v>402</v>
      </c>
      <c r="B233" s="134">
        <v>250</v>
      </c>
      <c r="C233" s="158">
        <v>13</v>
      </c>
      <c r="D233" s="140" t="s">
        <v>126</v>
      </c>
      <c r="E233" s="158" t="s">
        <v>3</v>
      </c>
      <c r="F233" s="158" t="s">
        <v>503</v>
      </c>
      <c r="G233" s="158" t="s">
        <v>4</v>
      </c>
      <c r="H233" s="157" t="s">
        <v>125</v>
      </c>
      <c r="I233" s="258">
        <f t="shared" si="34"/>
        <v>0</v>
      </c>
      <c r="J233" s="258">
        <f t="shared" si="34"/>
        <v>1000</v>
      </c>
      <c r="K233" s="258">
        <f t="shared" si="34"/>
        <v>1000</v>
      </c>
    </row>
    <row r="234" spans="1:11" ht="40.5">
      <c r="A234" s="152" t="s">
        <v>404</v>
      </c>
      <c r="B234" s="134">
        <v>250</v>
      </c>
      <c r="C234" s="158">
        <v>13</v>
      </c>
      <c r="D234" s="140" t="s">
        <v>126</v>
      </c>
      <c r="E234" s="158" t="s">
        <v>186</v>
      </c>
      <c r="F234" s="158" t="s">
        <v>504</v>
      </c>
      <c r="G234" s="158" t="s">
        <v>4</v>
      </c>
      <c r="H234" s="157" t="s">
        <v>125</v>
      </c>
      <c r="I234" s="255">
        <f>I237</f>
        <v>0</v>
      </c>
      <c r="J234" s="255">
        <f>J237</f>
        <v>1000</v>
      </c>
      <c r="K234" s="255">
        <f>K237</f>
        <v>1000</v>
      </c>
    </row>
    <row r="235" spans="1:11" ht="30.75" customHeight="1">
      <c r="A235" s="277" t="s">
        <v>401</v>
      </c>
      <c r="B235" s="134">
        <v>250</v>
      </c>
      <c r="C235" s="158">
        <v>13</v>
      </c>
      <c r="D235" s="140" t="s">
        <v>126</v>
      </c>
      <c r="E235" s="158" t="s">
        <v>186</v>
      </c>
      <c r="F235" s="158" t="str">
        <f>F234</f>
        <v>91 6 01 90190</v>
      </c>
      <c r="G235" s="158">
        <v>700</v>
      </c>
      <c r="H235" s="157" t="s">
        <v>125</v>
      </c>
      <c r="I235" s="255">
        <f>SUM(I237)</f>
        <v>0</v>
      </c>
      <c r="J235" s="255">
        <f>SUM(J237)</f>
        <v>1000</v>
      </c>
      <c r="K235" s="255">
        <f>SUM(K237)</f>
        <v>1000</v>
      </c>
    </row>
    <row r="236" spans="1:11" ht="27" customHeight="1">
      <c r="A236" s="278" t="s">
        <v>403</v>
      </c>
      <c r="B236" s="134">
        <v>250</v>
      </c>
      <c r="C236" s="158">
        <v>13</v>
      </c>
      <c r="D236" s="140" t="s">
        <v>126</v>
      </c>
      <c r="E236" s="158" t="s">
        <v>186</v>
      </c>
      <c r="F236" s="158" t="str">
        <f>F234</f>
        <v>91 6 01 90190</v>
      </c>
      <c r="G236" s="158">
        <v>730</v>
      </c>
      <c r="H236" s="157"/>
      <c r="I236" s="255">
        <f>I237</f>
        <v>0</v>
      </c>
      <c r="J236" s="255">
        <f>J237</f>
        <v>1000</v>
      </c>
      <c r="K236" s="255">
        <f>K237</f>
        <v>1000</v>
      </c>
    </row>
    <row r="237" spans="1:11" ht="28.5" customHeight="1" hidden="1">
      <c r="A237" s="279" t="s">
        <v>405</v>
      </c>
      <c r="B237" s="264">
        <v>250</v>
      </c>
      <c r="C237" s="275">
        <v>13</v>
      </c>
      <c r="D237" s="268" t="s">
        <v>126</v>
      </c>
      <c r="E237" s="275" t="s">
        <v>186</v>
      </c>
      <c r="F237" s="275" t="s">
        <v>400</v>
      </c>
      <c r="G237" s="264">
        <v>231</v>
      </c>
      <c r="H237" s="157" t="s">
        <v>125</v>
      </c>
      <c r="I237" s="255">
        <f>0</f>
        <v>0</v>
      </c>
      <c r="J237" s="255">
        <f>1000</f>
        <v>1000</v>
      </c>
      <c r="K237" s="255">
        <f>1000</f>
        <v>1000</v>
      </c>
    </row>
    <row r="238" spans="1:11" ht="54">
      <c r="A238" s="133" t="s">
        <v>192</v>
      </c>
      <c r="B238" s="136">
        <v>250</v>
      </c>
      <c r="C238" s="138">
        <v>14</v>
      </c>
      <c r="D238" s="142" t="s">
        <v>123</v>
      </c>
      <c r="E238" s="138" t="s">
        <v>193</v>
      </c>
      <c r="F238" s="138" t="s">
        <v>305</v>
      </c>
      <c r="G238" s="142" t="s">
        <v>125</v>
      </c>
      <c r="H238" s="157" t="s">
        <v>125</v>
      </c>
      <c r="I238" s="252">
        <f aca="true" t="shared" si="35" ref="I238:K239">I239</f>
        <v>15000</v>
      </c>
      <c r="J238" s="252">
        <f t="shared" si="35"/>
        <v>15000</v>
      </c>
      <c r="K238" s="252">
        <f t="shared" si="35"/>
        <v>15000</v>
      </c>
    </row>
    <row r="239" spans="1:11" ht="27">
      <c r="A239" s="139" t="s">
        <v>194</v>
      </c>
      <c r="B239" s="134">
        <v>250</v>
      </c>
      <c r="C239" s="158">
        <v>14</v>
      </c>
      <c r="D239" s="140" t="s">
        <v>177</v>
      </c>
      <c r="E239" s="158" t="s">
        <v>124</v>
      </c>
      <c r="F239" s="158" t="s">
        <v>505</v>
      </c>
      <c r="G239" s="140" t="s">
        <v>125</v>
      </c>
      <c r="H239" s="157" t="s">
        <v>125</v>
      </c>
      <c r="I239" s="255">
        <f t="shared" si="35"/>
        <v>15000</v>
      </c>
      <c r="J239" s="255">
        <f t="shared" si="35"/>
        <v>15000</v>
      </c>
      <c r="K239" s="255">
        <f t="shared" si="35"/>
        <v>15000</v>
      </c>
    </row>
    <row r="240" spans="1:11" ht="40.5">
      <c r="A240" s="139" t="s">
        <v>195</v>
      </c>
      <c r="B240" s="134">
        <v>250</v>
      </c>
      <c r="C240" s="158">
        <v>14</v>
      </c>
      <c r="D240" s="140" t="s">
        <v>177</v>
      </c>
      <c r="E240" s="158" t="s">
        <v>196</v>
      </c>
      <c r="F240" s="158" t="s">
        <v>506</v>
      </c>
      <c r="G240" s="140" t="s">
        <v>125</v>
      </c>
      <c r="H240" s="157" t="s">
        <v>125</v>
      </c>
      <c r="I240" s="255">
        <f>I242</f>
        <v>15000</v>
      </c>
      <c r="J240" s="255">
        <f>J241</f>
        <v>15000</v>
      </c>
      <c r="K240" s="255">
        <f>K242</f>
        <v>15000</v>
      </c>
    </row>
    <row r="241" spans="1:11" ht="12" customHeight="1">
      <c r="A241" s="139" t="s">
        <v>228</v>
      </c>
      <c r="B241" s="134">
        <v>250</v>
      </c>
      <c r="C241" s="158">
        <v>14</v>
      </c>
      <c r="D241" s="140" t="s">
        <v>177</v>
      </c>
      <c r="E241" s="158" t="s">
        <v>196</v>
      </c>
      <c r="F241" s="158" t="str">
        <f>F240</f>
        <v>91 8 01 90200</v>
      </c>
      <c r="G241" s="140" t="s">
        <v>229</v>
      </c>
      <c r="H241" s="140" t="s">
        <v>199</v>
      </c>
      <c r="I241" s="255">
        <f aca="true" t="shared" si="36" ref="I241:K242">I242</f>
        <v>15000</v>
      </c>
      <c r="J241" s="255">
        <f>J242</f>
        <v>15000</v>
      </c>
      <c r="K241" s="255">
        <f t="shared" si="36"/>
        <v>15000</v>
      </c>
    </row>
    <row r="242" spans="1:11" ht="27" hidden="1">
      <c r="A242" s="141" t="s">
        <v>197</v>
      </c>
      <c r="B242" s="134" t="s">
        <v>108</v>
      </c>
      <c r="C242" s="158">
        <v>14</v>
      </c>
      <c r="D242" s="140" t="s">
        <v>177</v>
      </c>
      <c r="E242" s="158" t="s">
        <v>196</v>
      </c>
      <c r="F242" s="158" t="s">
        <v>274</v>
      </c>
      <c r="G242" s="140" t="s">
        <v>198</v>
      </c>
      <c r="H242" s="140"/>
      <c r="I242" s="255">
        <f t="shared" si="36"/>
        <v>15000</v>
      </c>
      <c r="J242" s="255">
        <f>J243</f>
        <v>15000</v>
      </c>
      <c r="K242" s="255">
        <f t="shared" si="36"/>
        <v>15000</v>
      </c>
    </row>
    <row r="243" spans="1:11" ht="13.5">
      <c r="A243" s="159" t="s">
        <v>262</v>
      </c>
      <c r="B243" s="134">
        <v>250</v>
      </c>
      <c r="C243" s="158">
        <v>14</v>
      </c>
      <c r="D243" s="140" t="s">
        <v>177</v>
      </c>
      <c r="E243" s="158" t="s">
        <v>196</v>
      </c>
      <c r="F243" s="158" t="str">
        <f>F240</f>
        <v>91 8 01 90200</v>
      </c>
      <c r="G243" s="140" t="s">
        <v>198</v>
      </c>
      <c r="H243" s="140"/>
      <c r="I243" s="255">
        <v>15000</v>
      </c>
      <c r="J243" s="255">
        <v>15000</v>
      </c>
      <c r="K243" s="255">
        <v>15000</v>
      </c>
    </row>
    <row r="244" spans="1:13" ht="13.5">
      <c r="A244" s="133" t="s">
        <v>321</v>
      </c>
      <c r="B244" s="142" t="s">
        <v>322</v>
      </c>
      <c r="C244" s="138" t="s">
        <v>25</v>
      </c>
      <c r="D244" s="157" t="s">
        <v>123</v>
      </c>
      <c r="E244" s="158" t="s">
        <v>124</v>
      </c>
      <c r="F244" s="136" t="s">
        <v>275</v>
      </c>
      <c r="G244" s="138" t="s">
        <v>4</v>
      </c>
      <c r="H244" s="157" t="s">
        <v>125</v>
      </c>
      <c r="I244" s="254">
        <f>I245</f>
        <v>4793039.0600000005</v>
      </c>
      <c r="J244" s="254">
        <f>J246+J286</f>
        <v>4329964</v>
      </c>
      <c r="K244" s="254">
        <f>K246+K286</f>
        <v>3902830</v>
      </c>
      <c r="M244" s="40"/>
    </row>
    <row r="245" spans="1:11" ht="13.5">
      <c r="A245" s="133" t="s">
        <v>236</v>
      </c>
      <c r="B245" s="142" t="s">
        <v>322</v>
      </c>
      <c r="C245" s="138" t="s">
        <v>25</v>
      </c>
      <c r="D245" s="157" t="s">
        <v>123</v>
      </c>
      <c r="E245" s="158" t="s">
        <v>124</v>
      </c>
      <c r="F245" s="136" t="s">
        <v>275</v>
      </c>
      <c r="G245" s="138" t="s">
        <v>4</v>
      </c>
      <c r="H245" s="157" t="s">
        <v>125</v>
      </c>
      <c r="I245" s="254">
        <f>I246+I286</f>
        <v>4793039.0600000005</v>
      </c>
      <c r="J245" s="254">
        <f>J246</f>
        <v>4329964</v>
      </c>
      <c r="K245" s="254">
        <f>K246</f>
        <v>3902830</v>
      </c>
    </row>
    <row r="246" spans="1:14" ht="13.5">
      <c r="A246" s="133" t="s">
        <v>110</v>
      </c>
      <c r="B246" s="142" t="s">
        <v>322</v>
      </c>
      <c r="C246" s="138" t="s">
        <v>25</v>
      </c>
      <c r="D246" s="138" t="s">
        <v>1</v>
      </c>
      <c r="E246" s="142" t="s">
        <v>239</v>
      </c>
      <c r="F246" s="136" t="s">
        <v>275</v>
      </c>
      <c r="G246" s="138" t="s">
        <v>4</v>
      </c>
      <c r="H246" s="157" t="s">
        <v>125</v>
      </c>
      <c r="I246" s="254">
        <f>I247+I270+I265</f>
        <v>4010039.06</v>
      </c>
      <c r="J246" s="254">
        <f>J247+J270+J265</f>
        <v>4329964</v>
      </c>
      <c r="K246" s="254">
        <f>K247+K270+K265</f>
        <v>3902830</v>
      </c>
      <c r="M246" s="61"/>
      <c r="N246" s="61"/>
    </row>
    <row r="247" spans="1:14" ht="27">
      <c r="A247" s="133" t="s">
        <v>230</v>
      </c>
      <c r="B247" s="142" t="s">
        <v>322</v>
      </c>
      <c r="C247" s="138" t="s">
        <v>25</v>
      </c>
      <c r="D247" s="138" t="s">
        <v>1</v>
      </c>
      <c r="E247" s="136" t="s">
        <v>93</v>
      </c>
      <c r="F247" s="136" t="s">
        <v>479</v>
      </c>
      <c r="G247" s="138" t="s">
        <v>4</v>
      </c>
      <c r="H247" s="157" t="s">
        <v>125</v>
      </c>
      <c r="I247" s="254">
        <f>I248+I253+I262</f>
        <v>3328607.06</v>
      </c>
      <c r="J247" s="254">
        <f>J248+J253+J262</f>
        <v>3849000</v>
      </c>
      <c r="K247" s="254">
        <f>K248+K253+K262</f>
        <v>3405774</v>
      </c>
      <c r="M247" s="61"/>
      <c r="N247" s="61"/>
    </row>
    <row r="248" spans="1:13" ht="27">
      <c r="A248" s="139" t="s">
        <v>165</v>
      </c>
      <c r="B248" s="142" t="s">
        <v>322</v>
      </c>
      <c r="C248" s="158" t="s">
        <v>25</v>
      </c>
      <c r="D248" s="158" t="s">
        <v>1</v>
      </c>
      <c r="E248" s="134" t="s">
        <v>93</v>
      </c>
      <c r="F248" s="134" t="s">
        <v>276</v>
      </c>
      <c r="G248" s="138">
        <v>100</v>
      </c>
      <c r="H248" s="158">
        <v>210</v>
      </c>
      <c r="I248" s="253">
        <f>I249</f>
        <v>2571450</v>
      </c>
      <c r="J248" s="253">
        <f>J249</f>
        <v>2604000</v>
      </c>
      <c r="K248" s="253">
        <f>K249</f>
        <v>2669100</v>
      </c>
      <c r="M248" s="61"/>
    </row>
    <row r="249" spans="1:14" ht="24" customHeight="1">
      <c r="A249" s="139" t="s">
        <v>166</v>
      </c>
      <c r="B249" s="142" t="s">
        <v>322</v>
      </c>
      <c r="C249" s="158" t="s">
        <v>25</v>
      </c>
      <c r="D249" s="158" t="s">
        <v>1</v>
      </c>
      <c r="E249" s="134" t="s">
        <v>93</v>
      </c>
      <c r="F249" s="134" t="s">
        <v>276</v>
      </c>
      <c r="G249" s="158">
        <v>110</v>
      </c>
      <c r="H249" s="158">
        <v>211</v>
      </c>
      <c r="I249" s="253">
        <f>I250+I251</f>
        <v>2571450</v>
      </c>
      <c r="J249" s="253">
        <f>J250+J251</f>
        <v>2604000</v>
      </c>
      <c r="K249" s="253">
        <f>K250+K251</f>
        <v>2669100</v>
      </c>
      <c r="N249" s="61"/>
    </row>
    <row r="250" spans="1:14" ht="13.5" hidden="1">
      <c r="A250" s="141" t="s">
        <v>10</v>
      </c>
      <c r="B250" s="276" t="s">
        <v>322</v>
      </c>
      <c r="C250" s="275" t="s">
        <v>25</v>
      </c>
      <c r="D250" s="275" t="s">
        <v>1</v>
      </c>
      <c r="E250" s="264" t="s">
        <v>93</v>
      </c>
      <c r="F250" s="264" t="s">
        <v>276</v>
      </c>
      <c r="G250" s="275">
        <v>111</v>
      </c>
      <c r="H250" s="158">
        <v>213</v>
      </c>
      <c r="I250" s="253">
        <f>39500*6.25*8</f>
        <v>1975000</v>
      </c>
      <c r="J250" s="255">
        <f>40000*6.25*8</f>
        <v>2000000</v>
      </c>
      <c r="K250" s="255">
        <f>41000*6.25*8</f>
        <v>2050000</v>
      </c>
      <c r="N250" s="61"/>
    </row>
    <row r="251" spans="1:14" ht="16.5" customHeight="1" hidden="1">
      <c r="A251" s="141" t="s">
        <v>12</v>
      </c>
      <c r="B251" s="276" t="s">
        <v>322</v>
      </c>
      <c r="C251" s="275" t="s">
        <v>25</v>
      </c>
      <c r="D251" s="275" t="s">
        <v>1</v>
      </c>
      <c r="E251" s="264" t="s">
        <v>93</v>
      </c>
      <c r="F251" s="264" t="s">
        <v>276</v>
      </c>
      <c r="G251" s="275">
        <v>119</v>
      </c>
      <c r="H251" s="158"/>
      <c r="I251" s="253">
        <f>I250*30.2%</f>
        <v>596450</v>
      </c>
      <c r="J251" s="255">
        <f>J250*30.2%</f>
        <v>604000</v>
      </c>
      <c r="K251" s="255">
        <f>K250*30.2%</f>
        <v>619100</v>
      </c>
      <c r="N251" s="61"/>
    </row>
    <row r="252" spans="1:11" ht="27">
      <c r="A252" s="139" t="s">
        <v>231</v>
      </c>
      <c r="B252" s="142" t="s">
        <v>322</v>
      </c>
      <c r="C252" s="158" t="s">
        <v>25</v>
      </c>
      <c r="D252" s="158" t="s">
        <v>1</v>
      </c>
      <c r="E252" s="134" t="s">
        <v>93</v>
      </c>
      <c r="F252" s="134" t="s">
        <v>276</v>
      </c>
      <c r="G252" s="158" t="s">
        <v>4</v>
      </c>
      <c r="H252" s="157" t="s">
        <v>125</v>
      </c>
      <c r="I252" s="253">
        <f aca="true" t="shared" si="37" ref="I252:K253">I253</f>
        <v>752157.06</v>
      </c>
      <c r="J252" s="253">
        <f t="shared" si="37"/>
        <v>1240000</v>
      </c>
      <c r="K252" s="253">
        <f t="shared" si="37"/>
        <v>731674</v>
      </c>
    </row>
    <row r="253" spans="1:11" ht="27">
      <c r="A253" s="139" t="s">
        <v>164</v>
      </c>
      <c r="B253" s="142" t="s">
        <v>322</v>
      </c>
      <c r="C253" s="158" t="s">
        <v>25</v>
      </c>
      <c r="D253" s="158" t="s">
        <v>1</v>
      </c>
      <c r="E253" s="134" t="s">
        <v>93</v>
      </c>
      <c r="F253" s="134" t="s">
        <v>276</v>
      </c>
      <c r="G253" s="138">
        <v>200</v>
      </c>
      <c r="H253" s="157" t="s">
        <v>125</v>
      </c>
      <c r="I253" s="253">
        <f t="shared" si="37"/>
        <v>752157.06</v>
      </c>
      <c r="J253" s="253">
        <f t="shared" si="37"/>
        <v>1240000</v>
      </c>
      <c r="K253" s="253">
        <f t="shared" si="37"/>
        <v>731674</v>
      </c>
    </row>
    <row r="254" spans="1:11" ht="27">
      <c r="A254" s="139" t="s">
        <v>256</v>
      </c>
      <c r="B254" s="142" t="s">
        <v>322</v>
      </c>
      <c r="C254" s="158" t="s">
        <v>25</v>
      </c>
      <c r="D254" s="158" t="s">
        <v>1</v>
      </c>
      <c r="E254" s="134" t="s">
        <v>93</v>
      </c>
      <c r="F254" s="134" t="s">
        <v>276</v>
      </c>
      <c r="G254" s="158">
        <v>240</v>
      </c>
      <c r="H254" s="157"/>
      <c r="I254" s="253">
        <f>I255+I261</f>
        <v>752157.06</v>
      </c>
      <c r="J254" s="253">
        <f>J255+J261</f>
        <v>1240000</v>
      </c>
      <c r="K254" s="253">
        <f>K255+K261</f>
        <v>731674</v>
      </c>
    </row>
    <row r="255" spans="1:14" ht="30" customHeight="1">
      <c r="A255" s="139" t="s">
        <v>160</v>
      </c>
      <c r="B255" s="142" t="s">
        <v>322</v>
      </c>
      <c r="C255" s="158" t="s">
        <v>25</v>
      </c>
      <c r="D255" s="158" t="s">
        <v>1</v>
      </c>
      <c r="E255" s="134" t="s">
        <v>93</v>
      </c>
      <c r="F255" s="134" t="s">
        <v>276</v>
      </c>
      <c r="G255" s="158">
        <v>244</v>
      </c>
      <c r="H255" s="157" t="s">
        <v>125</v>
      </c>
      <c r="I255" s="253">
        <f>I257+I258+I260+I259+I256</f>
        <v>452157.06</v>
      </c>
      <c r="J255" s="253">
        <f>J257+J258+J260+J259+J256</f>
        <v>940000</v>
      </c>
      <c r="K255" s="253">
        <f>K256+K257+K258+K260+K259</f>
        <v>431674</v>
      </c>
      <c r="M255" s="40"/>
      <c r="N255" s="40"/>
    </row>
    <row r="256" spans="1:13" ht="19.5" customHeight="1" hidden="1">
      <c r="A256" s="141" t="s">
        <v>16</v>
      </c>
      <c r="B256" s="276" t="s">
        <v>322</v>
      </c>
      <c r="C256" s="275" t="s">
        <v>25</v>
      </c>
      <c r="D256" s="275" t="s">
        <v>1</v>
      </c>
      <c r="E256" s="264" t="s">
        <v>93</v>
      </c>
      <c r="F256" s="264" t="s">
        <v>277</v>
      </c>
      <c r="G256" s="275">
        <v>223</v>
      </c>
      <c r="H256" s="157"/>
      <c r="I256" s="253">
        <v>0</v>
      </c>
      <c r="J256" s="253">
        <v>0</v>
      </c>
      <c r="K256" s="253">
        <v>0</v>
      </c>
      <c r="M256" s="40"/>
    </row>
    <row r="257" spans="1:11" ht="13.5" hidden="1">
      <c r="A257" s="141" t="s">
        <v>161</v>
      </c>
      <c r="B257" s="276" t="s">
        <v>322</v>
      </c>
      <c r="C257" s="275" t="s">
        <v>25</v>
      </c>
      <c r="D257" s="275" t="s">
        <v>1</v>
      </c>
      <c r="E257" s="264" t="s">
        <v>93</v>
      </c>
      <c r="F257" s="264" t="s">
        <v>277</v>
      </c>
      <c r="G257" s="275">
        <v>226</v>
      </c>
      <c r="H257" s="158">
        <v>226</v>
      </c>
      <c r="I257" s="253">
        <f>110000*5-234671.62-79171.32-69000+65000+60000+100000+30000</f>
        <v>422157.06</v>
      </c>
      <c r="J257" s="255">
        <f>110000*8</f>
        <v>880000</v>
      </c>
      <c r="K257" s="255">
        <f>110000*8-468326</f>
        <v>411674</v>
      </c>
    </row>
    <row r="258" spans="1:11" ht="67.5" hidden="1">
      <c r="A258" s="173" t="s">
        <v>347</v>
      </c>
      <c r="B258" s="276" t="s">
        <v>322</v>
      </c>
      <c r="C258" s="275" t="s">
        <v>25</v>
      </c>
      <c r="D258" s="275" t="s">
        <v>1</v>
      </c>
      <c r="E258" s="264" t="s">
        <v>93</v>
      </c>
      <c r="F258" s="264" t="s">
        <v>277</v>
      </c>
      <c r="G258" s="275">
        <v>228</v>
      </c>
      <c r="H258" s="158">
        <v>290</v>
      </c>
      <c r="I258" s="260">
        <v>0</v>
      </c>
      <c r="J258" s="255">
        <v>0</v>
      </c>
      <c r="K258" s="255">
        <v>0</v>
      </c>
    </row>
    <row r="259" spans="1:11" ht="33" customHeight="1" hidden="1">
      <c r="A259" s="141" t="s">
        <v>21</v>
      </c>
      <c r="B259" s="276" t="s">
        <v>322</v>
      </c>
      <c r="C259" s="275" t="s">
        <v>25</v>
      </c>
      <c r="D259" s="275" t="s">
        <v>1</v>
      </c>
      <c r="E259" s="264" t="s">
        <v>93</v>
      </c>
      <c r="F259" s="264" t="s">
        <v>277</v>
      </c>
      <c r="G259" s="275">
        <v>310</v>
      </c>
      <c r="H259" s="158">
        <v>340</v>
      </c>
      <c r="I259" s="261">
        <v>10000</v>
      </c>
      <c r="J259" s="261">
        <v>10000</v>
      </c>
      <c r="K259" s="261">
        <f>10000</f>
        <v>10000</v>
      </c>
    </row>
    <row r="260" spans="1:11" ht="27" hidden="1">
      <c r="A260" s="141" t="s">
        <v>135</v>
      </c>
      <c r="B260" s="276" t="s">
        <v>322</v>
      </c>
      <c r="C260" s="275" t="s">
        <v>25</v>
      </c>
      <c r="D260" s="275" t="s">
        <v>1</v>
      </c>
      <c r="E260" s="264" t="s">
        <v>93</v>
      </c>
      <c r="F260" s="264" t="s">
        <v>277</v>
      </c>
      <c r="G260" s="275">
        <v>340</v>
      </c>
      <c r="H260" s="158">
        <v>310</v>
      </c>
      <c r="I260" s="262">
        <v>20000</v>
      </c>
      <c r="J260" s="261">
        <v>50000</v>
      </c>
      <c r="K260" s="261">
        <v>10000</v>
      </c>
    </row>
    <row r="261" spans="1:11" ht="13.5">
      <c r="A261" s="139" t="s">
        <v>441</v>
      </c>
      <c r="B261" s="142" t="s">
        <v>322</v>
      </c>
      <c r="C261" s="158" t="s">
        <v>25</v>
      </c>
      <c r="D261" s="158" t="s">
        <v>1</v>
      </c>
      <c r="E261" s="134"/>
      <c r="F261" s="134" t="s">
        <v>461</v>
      </c>
      <c r="G261" s="158">
        <v>247</v>
      </c>
      <c r="H261" s="158"/>
      <c r="I261" s="262">
        <f>300000</f>
        <v>300000</v>
      </c>
      <c r="J261" s="261">
        <f>300000</f>
        <v>300000</v>
      </c>
      <c r="K261" s="261">
        <f>300000</f>
        <v>300000</v>
      </c>
    </row>
    <row r="262" spans="1:11" ht="33" customHeight="1">
      <c r="A262" s="139" t="s">
        <v>227</v>
      </c>
      <c r="B262" s="142" t="s">
        <v>322</v>
      </c>
      <c r="C262" s="158" t="s">
        <v>25</v>
      </c>
      <c r="D262" s="158" t="s">
        <v>1</v>
      </c>
      <c r="E262" s="134" t="s">
        <v>93</v>
      </c>
      <c r="F262" s="134" t="s">
        <v>276</v>
      </c>
      <c r="G262" s="138">
        <v>800</v>
      </c>
      <c r="H262" s="157" t="s">
        <v>125</v>
      </c>
      <c r="I262" s="260">
        <f aca="true" t="shared" si="38" ref="I262:K263">I263</f>
        <v>5000</v>
      </c>
      <c r="J262" s="253">
        <f t="shared" si="38"/>
        <v>5000</v>
      </c>
      <c r="K262" s="253">
        <f t="shared" si="38"/>
        <v>5000</v>
      </c>
    </row>
    <row r="263" spans="1:11" ht="30" customHeight="1">
      <c r="A263" s="159" t="s">
        <v>162</v>
      </c>
      <c r="B263" s="142" t="s">
        <v>322</v>
      </c>
      <c r="C263" s="158" t="s">
        <v>25</v>
      </c>
      <c r="D263" s="158" t="s">
        <v>1</v>
      </c>
      <c r="E263" s="134" t="s">
        <v>93</v>
      </c>
      <c r="F263" s="134" t="s">
        <v>276</v>
      </c>
      <c r="G263" s="158">
        <v>850</v>
      </c>
      <c r="H263" s="157"/>
      <c r="I263" s="260">
        <f t="shared" si="38"/>
        <v>5000</v>
      </c>
      <c r="J263" s="253">
        <f t="shared" si="38"/>
        <v>5000</v>
      </c>
      <c r="K263" s="253">
        <f t="shared" si="38"/>
        <v>5000</v>
      </c>
    </row>
    <row r="264" spans="1:11" ht="34.5" customHeight="1">
      <c r="A264" s="159" t="s">
        <v>278</v>
      </c>
      <c r="B264" s="142" t="s">
        <v>322</v>
      </c>
      <c r="C264" s="158" t="s">
        <v>25</v>
      </c>
      <c r="D264" s="158" t="s">
        <v>1</v>
      </c>
      <c r="E264" s="134" t="s">
        <v>93</v>
      </c>
      <c r="F264" s="134" t="s">
        <v>276</v>
      </c>
      <c r="G264" s="158">
        <v>853</v>
      </c>
      <c r="H264" s="157"/>
      <c r="I264" s="260">
        <v>5000</v>
      </c>
      <c r="J264" s="255">
        <v>5000</v>
      </c>
      <c r="K264" s="255">
        <v>5000</v>
      </c>
    </row>
    <row r="265" spans="1:11" ht="34.5" customHeight="1">
      <c r="A265" s="146" t="s">
        <v>529</v>
      </c>
      <c r="B265" s="142" t="s">
        <v>322</v>
      </c>
      <c r="C265" s="138" t="str">
        <f aca="true" t="shared" si="39" ref="C265:D267">C266</f>
        <v>О8</v>
      </c>
      <c r="D265" s="138" t="str">
        <f t="shared" si="39"/>
        <v>О1</v>
      </c>
      <c r="E265" s="136"/>
      <c r="F265" s="136" t="str">
        <f>F266</f>
        <v>91 7 10 S2370</v>
      </c>
      <c r="G265" s="138" t="s">
        <v>4</v>
      </c>
      <c r="H265" s="157"/>
      <c r="I265" s="322">
        <f aca="true" t="shared" si="40" ref="I265:K268">I266</f>
        <v>270000</v>
      </c>
      <c r="J265" s="252">
        <f t="shared" si="40"/>
        <v>0</v>
      </c>
      <c r="K265" s="252">
        <f t="shared" si="40"/>
        <v>0</v>
      </c>
    </row>
    <row r="266" spans="1:11" ht="46.5" customHeight="1">
      <c r="A266" s="159" t="str">
        <f>A228</f>
        <v>Закупка товаров, работ,услуг в целях формирования муниципального материального резерва</v>
      </c>
      <c r="B266" s="140" t="s">
        <v>322</v>
      </c>
      <c r="C266" s="158" t="str">
        <f t="shared" si="39"/>
        <v>О8</v>
      </c>
      <c r="D266" s="158" t="str">
        <f t="shared" si="39"/>
        <v>О1</v>
      </c>
      <c r="E266" s="134"/>
      <c r="F266" s="134" t="str">
        <f>F267</f>
        <v>91 7 10 S2370</v>
      </c>
      <c r="G266" s="158">
        <v>200</v>
      </c>
      <c r="H266" s="157"/>
      <c r="I266" s="260">
        <f t="shared" si="40"/>
        <v>270000</v>
      </c>
      <c r="J266" s="255">
        <f t="shared" si="40"/>
        <v>0</v>
      </c>
      <c r="K266" s="255">
        <f t="shared" si="40"/>
        <v>0</v>
      </c>
    </row>
    <row r="267" spans="1:11" ht="34.5" customHeight="1">
      <c r="A267" s="159" t="str">
        <f>A229</f>
        <v>Иные закупки товаров,работ и услуг для муниципальных нужд</v>
      </c>
      <c r="B267" s="140" t="s">
        <v>322</v>
      </c>
      <c r="C267" s="158" t="str">
        <f t="shared" si="39"/>
        <v>О8</v>
      </c>
      <c r="D267" s="158" t="str">
        <f t="shared" si="39"/>
        <v>О1</v>
      </c>
      <c r="E267" s="134"/>
      <c r="F267" s="134" t="str">
        <f>F268</f>
        <v>91 7 10 S2370</v>
      </c>
      <c r="G267" s="158">
        <v>240</v>
      </c>
      <c r="H267" s="157"/>
      <c r="I267" s="260">
        <f t="shared" si="40"/>
        <v>270000</v>
      </c>
      <c r="J267" s="255">
        <f t="shared" si="40"/>
        <v>0</v>
      </c>
      <c r="K267" s="255">
        <f t="shared" si="40"/>
        <v>0</v>
      </c>
    </row>
    <row r="268" spans="1:11" ht="34.5" customHeight="1">
      <c r="A268" s="159" t="str">
        <f>A225</f>
        <v>Прочая закупка товаров,работ,услуг для муниципальных нужд</v>
      </c>
      <c r="B268" s="140" t="s">
        <v>322</v>
      </c>
      <c r="C268" s="158" t="s">
        <v>25</v>
      </c>
      <c r="D268" s="158" t="s">
        <v>1</v>
      </c>
      <c r="E268" s="134"/>
      <c r="F268" s="134" t="s">
        <v>530</v>
      </c>
      <c r="G268" s="158">
        <v>244</v>
      </c>
      <c r="H268" s="157"/>
      <c r="I268" s="260">
        <f t="shared" si="40"/>
        <v>270000</v>
      </c>
      <c r="J268" s="255">
        <f t="shared" si="40"/>
        <v>0</v>
      </c>
      <c r="K268" s="255">
        <f t="shared" si="40"/>
        <v>0</v>
      </c>
    </row>
    <row r="269" spans="1:11" ht="34.5" customHeight="1" hidden="1">
      <c r="A269" s="141" t="s">
        <v>135</v>
      </c>
      <c r="B269" s="276" t="s">
        <v>322</v>
      </c>
      <c r="C269" s="275" t="s">
        <v>25</v>
      </c>
      <c r="D269" s="275" t="s">
        <v>1</v>
      </c>
      <c r="E269" s="264"/>
      <c r="F269" s="264" t="s">
        <v>530</v>
      </c>
      <c r="G269" s="275">
        <v>340</v>
      </c>
      <c r="H269" s="323"/>
      <c r="I269" s="265">
        <f>261889.46+8110.54</f>
        <v>270000</v>
      </c>
      <c r="J269" s="266">
        <v>0</v>
      </c>
      <c r="K269" s="266">
        <v>0</v>
      </c>
    </row>
    <row r="270" spans="1:13" ht="27">
      <c r="A270" s="133" t="s">
        <v>232</v>
      </c>
      <c r="B270" s="142" t="s">
        <v>322</v>
      </c>
      <c r="C270" s="138" t="s">
        <v>25</v>
      </c>
      <c r="D270" s="138" t="s">
        <v>1</v>
      </c>
      <c r="E270" s="136" t="s">
        <v>29</v>
      </c>
      <c r="F270" s="136" t="s">
        <v>279</v>
      </c>
      <c r="G270" s="138" t="s">
        <v>4</v>
      </c>
      <c r="H270" s="157" t="s">
        <v>125</v>
      </c>
      <c r="I270" s="254">
        <f>I271+I277</f>
        <v>411432</v>
      </c>
      <c r="J270" s="254">
        <f>J271+J277</f>
        <v>480964</v>
      </c>
      <c r="K270" s="254">
        <f>K271+K277</f>
        <v>497056</v>
      </c>
      <c r="M270" s="61"/>
    </row>
    <row r="271" spans="1:11" ht="27">
      <c r="A271" s="139" t="s">
        <v>165</v>
      </c>
      <c r="B271" s="142" t="s">
        <v>322</v>
      </c>
      <c r="C271" s="158" t="s">
        <v>25</v>
      </c>
      <c r="D271" s="158" t="s">
        <v>1</v>
      </c>
      <c r="E271" s="134" t="s">
        <v>96</v>
      </c>
      <c r="F271" s="134" t="s">
        <v>481</v>
      </c>
      <c r="G271" s="158" t="s">
        <v>4</v>
      </c>
      <c r="H271" s="157" t="s">
        <v>125</v>
      </c>
      <c r="I271" s="253">
        <f aca="true" t="shared" si="41" ref="I271:K273">I272</f>
        <v>411432</v>
      </c>
      <c r="J271" s="253">
        <f t="shared" si="41"/>
        <v>416640</v>
      </c>
      <c r="K271" s="253">
        <f t="shared" si="41"/>
        <v>427056</v>
      </c>
    </row>
    <row r="272" spans="1:13" s="310" customFormat="1" ht="108" hidden="1">
      <c r="A272" s="187" t="s">
        <v>254</v>
      </c>
      <c r="B272" s="166" t="s">
        <v>322</v>
      </c>
      <c r="C272" s="150" t="s">
        <v>25</v>
      </c>
      <c r="D272" s="150" t="s">
        <v>1</v>
      </c>
      <c r="E272" s="150" t="s">
        <v>96</v>
      </c>
      <c r="F272" s="150" t="s">
        <v>280</v>
      </c>
      <c r="G272" s="150"/>
      <c r="H272" s="166"/>
      <c r="I272" s="259">
        <f t="shared" si="41"/>
        <v>411432</v>
      </c>
      <c r="J272" s="259">
        <f t="shared" si="41"/>
        <v>416640</v>
      </c>
      <c r="K272" s="259">
        <f t="shared" si="41"/>
        <v>427056</v>
      </c>
      <c r="L272" s="310" t="s">
        <v>480</v>
      </c>
      <c r="M272" s="311"/>
    </row>
    <row r="273" spans="1:13" ht="40.5">
      <c r="A273" s="139" t="s">
        <v>263</v>
      </c>
      <c r="B273" s="142" t="s">
        <v>322</v>
      </c>
      <c r="C273" s="158" t="s">
        <v>25</v>
      </c>
      <c r="D273" s="158" t="s">
        <v>1</v>
      </c>
      <c r="E273" s="134" t="s">
        <v>29</v>
      </c>
      <c r="F273" s="134" t="s">
        <v>481</v>
      </c>
      <c r="G273" s="138">
        <v>100</v>
      </c>
      <c r="H273" s="157" t="s">
        <v>125</v>
      </c>
      <c r="I273" s="253">
        <f t="shared" si="41"/>
        <v>411432</v>
      </c>
      <c r="J273" s="253">
        <f t="shared" si="41"/>
        <v>416640</v>
      </c>
      <c r="K273" s="253">
        <f t="shared" si="41"/>
        <v>427056</v>
      </c>
      <c r="M273" s="61"/>
    </row>
    <row r="274" spans="1:13" ht="33" customHeight="1">
      <c r="A274" s="139" t="s">
        <v>166</v>
      </c>
      <c r="B274" s="142" t="s">
        <v>322</v>
      </c>
      <c r="C274" s="158" t="s">
        <v>25</v>
      </c>
      <c r="D274" s="158" t="s">
        <v>1</v>
      </c>
      <c r="E274" s="134" t="s">
        <v>96</v>
      </c>
      <c r="F274" s="134" t="s">
        <v>481</v>
      </c>
      <c r="G274" s="158">
        <v>110</v>
      </c>
      <c r="H274" s="158">
        <v>210</v>
      </c>
      <c r="I274" s="253">
        <f>I275+I276</f>
        <v>411432</v>
      </c>
      <c r="J274" s="253">
        <f>J275+J276</f>
        <v>416640</v>
      </c>
      <c r="K274" s="253">
        <f>K275+K276</f>
        <v>427056</v>
      </c>
      <c r="M274" s="61"/>
    </row>
    <row r="275" spans="1:11" ht="15.75" customHeight="1" hidden="1">
      <c r="A275" s="141" t="s">
        <v>10</v>
      </c>
      <c r="B275" s="276" t="s">
        <v>322</v>
      </c>
      <c r="C275" s="275" t="s">
        <v>25</v>
      </c>
      <c r="D275" s="275" t="s">
        <v>1</v>
      </c>
      <c r="E275" s="264" t="s">
        <v>96</v>
      </c>
      <c r="F275" s="264"/>
      <c r="G275" s="275">
        <v>111</v>
      </c>
      <c r="H275" s="158">
        <v>211</v>
      </c>
      <c r="I275" s="260">
        <f>39500*1*8</f>
        <v>316000</v>
      </c>
      <c r="J275" s="255">
        <f>40000*1*8</f>
        <v>320000</v>
      </c>
      <c r="K275" s="255">
        <f>41000*1*8</f>
        <v>328000</v>
      </c>
    </row>
    <row r="276" spans="1:13" ht="18" customHeight="1" hidden="1">
      <c r="A276" s="141" t="s">
        <v>12</v>
      </c>
      <c r="B276" s="276" t="s">
        <v>322</v>
      </c>
      <c r="C276" s="275" t="s">
        <v>25</v>
      </c>
      <c r="D276" s="275" t="s">
        <v>1</v>
      </c>
      <c r="E276" s="264" t="s">
        <v>96</v>
      </c>
      <c r="F276" s="264"/>
      <c r="G276" s="275">
        <v>119</v>
      </c>
      <c r="H276" s="158">
        <v>213</v>
      </c>
      <c r="I276" s="253">
        <f>I275*30.2%</f>
        <v>95432</v>
      </c>
      <c r="J276" s="255">
        <f>J275*30.2%</f>
        <v>96640</v>
      </c>
      <c r="K276" s="255">
        <f>K275*30.2%</f>
        <v>99056</v>
      </c>
      <c r="M276" s="61"/>
    </row>
    <row r="277" spans="1:11" ht="27">
      <c r="A277" s="139" t="s">
        <v>231</v>
      </c>
      <c r="B277" s="142" t="s">
        <v>322</v>
      </c>
      <c r="C277" s="158" t="s">
        <v>25</v>
      </c>
      <c r="D277" s="158" t="s">
        <v>1</v>
      </c>
      <c r="E277" s="134" t="s">
        <v>96</v>
      </c>
      <c r="F277" s="134" t="s">
        <v>481</v>
      </c>
      <c r="G277" s="158" t="s">
        <v>4</v>
      </c>
      <c r="H277" s="157" t="s">
        <v>125</v>
      </c>
      <c r="I277" s="253">
        <f>I280</f>
        <v>0</v>
      </c>
      <c r="J277" s="253">
        <f>J280</f>
        <v>64324</v>
      </c>
      <c r="K277" s="253">
        <f>K280</f>
        <v>70000</v>
      </c>
    </row>
    <row r="278" spans="1:11" ht="27">
      <c r="A278" s="139" t="s">
        <v>164</v>
      </c>
      <c r="B278" s="142" t="s">
        <v>322</v>
      </c>
      <c r="C278" s="158" t="s">
        <v>25</v>
      </c>
      <c r="D278" s="158" t="s">
        <v>1</v>
      </c>
      <c r="E278" s="134" t="s">
        <v>96</v>
      </c>
      <c r="F278" s="134" t="s">
        <v>481</v>
      </c>
      <c r="G278" s="158">
        <v>200</v>
      </c>
      <c r="H278" s="157"/>
      <c r="I278" s="253">
        <f aca="true" t="shared" si="42" ref="I278:K279">I279</f>
        <v>0</v>
      </c>
      <c r="J278" s="253">
        <f t="shared" si="42"/>
        <v>64324</v>
      </c>
      <c r="K278" s="253">
        <f t="shared" si="42"/>
        <v>70000</v>
      </c>
    </row>
    <row r="279" spans="1:11" ht="27">
      <c r="A279" s="139" t="s">
        <v>256</v>
      </c>
      <c r="B279" s="142" t="s">
        <v>322</v>
      </c>
      <c r="C279" s="158" t="s">
        <v>25</v>
      </c>
      <c r="D279" s="158" t="s">
        <v>1</v>
      </c>
      <c r="E279" s="134" t="s">
        <v>96</v>
      </c>
      <c r="F279" s="134" t="s">
        <v>481</v>
      </c>
      <c r="G279" s="158">
        <v>240</v>
      </c>
      <c r="H279" s="157"/>
      <c r="I279" s="253">
        <f t="shared" si="42"/>
        <v>0</v>
      </c>
      <c r="J279" s="253">
        <f t="shared" si="42"/>
        <v>64324</v>
      </c>
      <c r="K279" s="253">
        <f t="shared" si="42"/>
        <v>70000</v>
      </c>
    </row>
    <row r="280" spans="1:11" ht="54.75" customHeight="1">
      <c r="A280" s="139" t="s">
        <v>160</v>
      </c>
      <c r="B280" s="142" t="s">
        <v>322</v>
      </c>
      <c r="C280" s="158" t="s">
        <v>25</v>
      </c>
      <c r="D280" s="158" t="s">
        <v>1</v>
      </c>
      <c r="E280" s="134" t="s">
        <v>96</v>
      </c>
      <c r="F280" s="134" t="s">
        <v>481</v>
      </c>
      <c r="G280" s="158">
        <v>244</v>
      </c>
      <c r="H280" s="157" t="s">
        <v>125</v>
      </c>
      <c r="I280" s="253">
        <f>I281+I282+I283+I284+I285</f>
        <v>0</v>
      </c>
      <c r="J280" s="253">
        <f>J281+J282+J283+J284+J285</f>
        <v>64324</v>
      </c>
      <c r="K280" s="253">
        <f>K281+K282+K283+K284+K285</f>
        <v>70000</v>
      </c>
    </row>
    <row r="281" spans="1:11" ht="27" hidden="1">
      <c r="A281" s="141" t="s">
        <v>107</v>
      </c>
      <c r="B281" s="268" t="s">
        <v>322</v>
      </c>
      <c r="C281" s="275" t="s">
        <v>25</v>
      </c>
      <c r="D281" s="275" t="s">
        <v>1</v>
      </c>
      <c r="E281" s="264" t="s">
        <v>96</v>
      </c>
      <c r="F281" s="264" t="s">
        <v>481</v>
      </c>
      <c r="G281" s="275">
        <v>224</v>
      </c>
      <c r="H281" s="158">
        <v>224</v>
      </c>
      <c r="I281" s="258">
        <v>0</v>
      </c>
      <c r="J281" s="255">
        <v>0</v>
      </c>
      <c r="K281" s="255">
        <v>0</v>
      </c>
    </row>
    <row r="282" spans="1:11" ht="13.5" hidden="1">
      <c r="A282" s="141" t="s">
        <v>17</v>
      </c>
      <c r="B282" s="268" t="s">
        <v>322</v>
      </c>
      <c r="C282" s="275" t="s">
        <v>25</v>
      </c>
      <c r="D282" s="275" t="s">
        <v>1</v>
      </c>
      <c r="E282" s="264" t="s">
        <v>96</v>
      </c>
      <c r="F282" s="264" t="s">
        <v>481</v>
      </c>
      <c r="G282" s="275">
        <v>225</v>
      </c>
      <c r="H282" s="158">
        <v>225</v>
      </c>
      <c r="I282" s="253">
        <v>0</v>
      </c>
      <c r="J282" s="255">
        <v>0</v>
      </c>
      <c r="K282" s="255">
        <v>0</v>
      </c>
    </row>
    <row r="283" spans="1:11" ht="14.25" customHeight="1" hidden="1">
      <c r="A283" s="141" t="s">
        <v>156</v>
      </c>
      <c r="B283" s="268" t="s">
        <v>322</v>
      </c>
      <c r="C283" s="275" t="s">
        <v>25</v>
      </c>
      <c r="D283" s="275" t="s">
        <v>1</v>
      </c>
      <c r="E283" s="264" t="s">
        <v>96</v>
      </c>
      <c r="F283" s="264" t="s">
        <v>481</v>
      </c>
      <c r="G283" s="275">
        <v>226</v>
      </c>
      <c r="H283" s="158">
        <v>226</v>
      </c>
      <c r="I283" s="258">
        <f>5000-5000</f>
        <v>0</v>
      </c>
      <c r="J283" s="255">
        <f>10000</f>
        <v>10000</v>
      </c>
      <c r="K283" s="255">
        <f>10000</f>
        <v>10000</v>
      </c>
    </row>
    <row r="284" spans="1:11" ht="27" hidden="1">
      <c r="A284" s="141" t="s">
        <v>21</v>
      </c>
      <c r="B284" s="268" t="s">
        <v>322</v>
      </c>
      <c r="C284" s="275" t="s">
        <v>25</v>
      </c>
      <c r="D284" s="275" t="s">
        <v>1</v>
      </c>
      <c r="E284" s="264" t="s">
        <v>96</v>
      </c>
      <c r="F284" s="264" t="s">
        <v>481</v>
      </c>
      <c r="G284" s="275">
        <v>310</v>
      </c>
      <c r="H284" s="158">
        <v>310</v>
      </c>
      <c r="I284" s="258">
        <f>10000-10000</f>
        <v>0</v>
      </c>
      <c r="J284" s="255">
        <v>10000</v>
      </c>
      <c r="K284" s="255">
        <v>10000</v>
      </c>
    </row>
    <row r="285" spans="1:11" ht="27" hidden="1">
      <c r="A285" s="141" t="s">
        <v>135</v>
      </c>
      <c r="B285" s="268" t="s">
        <v>322</v>
      </c>
      <c r="C285" s="275" t="s">
        <v>25</v>
      </c>
      <c r="D285" s="275" t="s">
        <v>1</v>
      </c>
      <c r="E285" s="264" t="s">
        <v>96</v>
      </c>
      <c r="F285" s="264" t="s">
        <v>481</v>
      </c>
      <c r="G285" s="275">
        <v>340</v>
      </c>
      <c r="H285" s="158">
        <v>340</v>
      </c>
      <c r="I285" s="261">
        <f>50000-50000</f>
        <v>0</v>
      </c>
      <c r="J285" s="261">
        <f>50000-5676</f>
        <v>44324</v>
      </c>
      <c r="K285" s="255">
        <f>50000</f>
        <v>50000</v>
      </c>
    </row>
    <row r="286" spans="1:11" ht="112.5" customHeight="1">
      <c r="A286" s="133" t="s">
        <v>511</v>
      </c>
      <c r="B286" s="142" t="s">
        <v>322</v>
      </c>
      <c r="C286" s="138" t="s">
        <v>25</v>
      </c>
      <c r="D286" s="157" t="s">
        <v>6</v>
      </c>
      <c r="E286" s="136" t="s">
        <v>233</v>
      </c>
      <c r="F286" s="136" t="str">
        <f>F287</f>
        <v>79 5 04 90320</v>
      </c>
      <c r="G286" s="138" t="s">
        <v>4</v>
      </c>
      <c r="H286" s="157" t="s">
        <v>125</v>
      </c>
      <c r="I286" s="252">
        <f aca="true" t="shared" si="43" ref="I286:K288">I287</f>
        <v>783000</v>
      </c>
      <c r="J286" s="252">
        <f t="shared" si="43"/>
        <v>0</v>
      </c>
      <c r="K286" s="252">
        <f t="shared" si="43"/>
        <v>0</v>
      </c>
    </row>
    <row r="287" spans="1:11" ht="38.25" customHeight="1">
      <c r="A287" s="139" t="s">
        <v>509</v>
      </c>
      <c r="B287" s="140" t="s">
        <v>322</v>
      </c>
      <c r="C287" s="158" t="s">
        <v>25</v>
      </c>
      <c r="D287" s="158" t="s">
        <v>6</v>
      </c>
      <c r="E287" s="134" t="s">
        <v>233</v>
      </c>
      <c r="F287" s="134" t="str">
        <f>F288</f>
        <v>79 5 04 90320</v>
      </c>
      <c r="G287" s="134">
        <v>400</v>
      </c>
      <c r="H287" s="134">
        <v>210</v>
      </c>
      <c r="I287" s="255">
        <f>I288</f>
        <v>783000</v>
      </c>
      <c r="J287" s="255">
        <f>J288</f>
        <v>0</v>
      </c>
      <c r="K287" s="255">
        <f>K288</f>
        <v>0</v>
      </c>
    </row>
    <row r="288" spans="1:11" ht="60" customHeight="1">
      <c r="A288" s="139" t="s">
        <v>513</v>
      </c>
      <c r="B288" s="140" t="s">
        <v>322</v>
      </c>
      <c r="C288" s="158" t="s">
        <v>25</v>
      </c>
      <c r="D288" s="158" t="s">
        <v>6</v>
      </c>
      <c r="E288" s="134" t="s">
        <v>233</v>
      </c>
      <c r="F288" s="134" t="str">
        <f>F289</f>
        <v>79 5 04 90320</v>
      </c>
      <c r="G288" s="134">
        <v>414</v>
      </c>
      <c r="H288" s="134">
        <v>213</v>
      </c>
      <c r="I288" s="255">
        <f t="shared" si="43"/>
        <v>783000</v>
      </c>
      <c r="J288" s="255">
        <f t="shared" si="43"/>
        <v>0</v>
      </c>
      <c r="K288" s="255">
        <f t="shared" si="43"/>
        <v>0</v>
      </c>
    </row>
    <row r="289" spans="1:11" ht="27.75" customHeight="1" hidden="1">
      <c r="A289" s="141" t="s">
        <v>21</v>
      </c>
      <c r="B289" s="268" t="s">
        <v>322</v>
      </c>
      <c r="C289" s="275" t="s">
        <v>25</v>
      </c>
      <c r="D289" s="275" t="s">
        <v>6</v>
      </c>
      <c r="E289" s="264"/>
      <c r="F289" s="264" t="s">
        <v>512</v>
      </c>
      <c r="G289" s="264">
        <v>310</v>
      </c>
      <c r="H289" s="264"/>
      <c r="I289" s="266">
        <f>714000+69000</f>
        <v>783000</v>
      </c>
      <c r="J289" s="266">
        <v>0</v>
      </c>
      <c r="K289" s="266">
        <v>0</v>
      </c>
    </row>
    <row r="290" spans="1:11" ht="27.75" customHeight="1">
      <c r="A290" s="187" t="s">
        <v>290</v>
      </c>
      <c r="B290" s="169"/>
      <c r="C290" s="150"/>
      <c r="D290" s="150"/>
      <c r="E290" s="150"/>
      <c r="F290" s="150"/>
      <c r="G290" s="150"/>
      <c r="H290" s="150"/>
      <c r="I290" s="259"/>
      <c r="J290" s="259">
        <f>(прилож1!E52-прилож1!E43-прилож1!E39)*2.5%+0.25</f>
        <v>362226</v>
      </c>
      <c r="K290" s="259">
        <f>(прилож1!F52-прилож1!F43-прилож1!F39)*5%+0.25</f>
        <v>712320</v>
      </c>
    </row>
    <row r="291" spans="1:13" ht="12.75" customHeight="1">
      <c r="A291" s="151" t="s">
        <v>237</v>
      </c>
      <c r="B291" s="136"/>
      <c r="C291" s="136"/>
      <c r="D291" s="136"/>
      <c r="E291" s="136"/>
      <c r="F291" s="136"/>
      <c r="G291" s="136"/>
      <c r="H291" s="136"/>
      <c r="I291" s="252">
        <f>I8+I244</f>
        <v>19505377.04499968</v>
      </c>
      <c r="J291" s="252">
        <f>J8+J244+J290</f>
        <v>15346530.004999679</v>
      </c>
      <c r="K291" s="252">
        <f>K8+K244+K290</f>
        <v>15109595.004999679</v>
      </c>
      <c r="M291" s="61"/>
    </row>
    <row r="292" ht="12.75">
      <c r="N292" s="61"/>
    </row>
    <row r="293" spans="9:13" ht="12.75">
      <c r="I293" s="175"/>
      <c r="J293" s="61"/>
      <c r="K293" s="61"/>
      <c r="M293" s="61"/>
    </row>
    <row r="294" spans="9:13" ht="12.75">
      <c r="I294" s="40"/>
      <c r="J294" s="61"/>
      <c r="K294" s="61"/>
      <c r="M294" s="61"/>
    </row>
    <row r="295" spans="9:11" ht="12.75">
      <c r="I295" s="61"/>
      <c r="J295" s="61"/>
      <c r="K295" s="61"/>
    </row>
    <row r="296" spans="10:11" ht="12.75">
      <c r="J296" s="61"/>
      <c r="K296" s="61"/>
    </row>
    <row r="297" ht="12.75">
      <c r="J297" s="61"/>
    </row>
    <row r="298" spans="7:10" ht="12.75">
      <c r="G298" s="114"/>
      <c r="I298" s="61"/>
      <c r="J298" s="61"/>
    </row>
    <row r="299" ht="12.75">
      <c r="I299" s="61"/>
    </row>
    <row r="300" ht="12.75">
      <c r="J300" s="61"/>
    </row>
    <row r="302" spans="10:11" ht="12.75">
      <c r="J302" s="61"/>
      <c r="K302" s="61"/>
    </row>
    <row r="304" ht="12.75">
      <c r="J304" s="61"/>
    </row>
  </sheetData>
  <sheetProtection/>
  <mergeCells count="8">
    <mergeCell ref="E2:K2"/>
    <mergeCell ref="J6:K6"/>
    <mergeCell ref="A6:A7"/>
    <mergeCell ref="B6:G6"/>
    <mergeCell ref="H6:H7"/>
    <mergeCell ref="I6:I7"/>
    <mergeCell ref="A4:K4"/>
    <mergeCell ref="D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3">
      <selection activeCell="H30" sqref="H30"/>
    </sheetView>
  </sheetViews>
  <sheetFormatPr defaultColWidth="9.00390625" defaultRowHeight="12.75"/>
  <cols>
    <col min="1" max="1" width="47.375" style="0" customWidth="1"/>
    <col min="2" max="2" width="26.125" style="0" customWidth="1"/>
    <col min="3" max="3" width="14.25390625" style="0" customWidth="1"/>
    <col min="4" max="4" width="12.25390625" style="0" customWidth="1"/>
    <col min="5" max="5" width="12.125" style="0" customWidth="1"/>
  </cols>
  <sheetData>
    <row r="2" spans="1:5" ht="12.75">
      <c r="A2" s="344" t="s">
        <v>220</v>
      </c>
      <c r="B2" s="325"/>
      <c r="C2" s="325"/>
      <c r="D2" s="325"/>
      <c r="E2" s="325"/>
    </row>
    <row r="3" spans="1:5" ht="41.25" customHeight="1">
      <c r="A3" s="43"/>
      <c r="B3" s="344" t="str">
        <f>прилож1!C4</f>
        <v>к проекту решения Думы МО "Гаханское" от "11" марта 2021 г. №82  "О внесении изменений в Решение Думы муниципального образования "Гаханское" от 24.12.2020 г. №76 "О бюджете муниципального образования «Гаханское» на 2021 год и плановый период 2022 - 2023 гг."</v>
      </c>
      <c r="C3" s="344"/>
      <c r="D3" s="344"/>
      <c r="E3" s="344"/>
    </row>
    <row r="4" spans="1:3" ht="12.75">
      <c r="A4" s="347"/>
      <c r="B4" s="347"/>
      <c r="C4" s="347"/>
    </row>
    <row r="5" spans="1:5" ht="12.75">
      <c r="A5" s="340" t="s">
        <v>189</v>
      </c>
      <c r="B5" s="340"/>
      <c r="C5" s="340"/>
      <c r="D5" s="341"/>
      <c r="E5" s="341"/>
    </row>
    <row r="6" spans="1:5" ht="14.25" customHeight="1">
      <c r="A6" s="342" t="s">
        <v>395</v>
      </c>
      <c r="B6" s="342"/>
      <c r="C6" s="342"/>
      <c r="D6" s="343"/>
      <c r="E6" s="343"/>
    </row>
    <row r="7" spans="1:5" ht="14.25" customHeight="1">
      <c r="A7" s="70"/>
      <c r="B7" s="70"/>
      <c r="C7" s="70"/>
      <c r="D7" s="131"/>
      <c r="E7" s="131"/>
    </row>
    <row r="8" spans="1:5" ht="14.25" customHeight="1" thickBot="1">
      <c r="A8" s="70"/>
      <c r="B8" s="70"/>
      <c r="C8" s="70"/>
      <c r="D8" s="132"/>
      <c r="E8" s="132" t="s">
        <v>291</v>
      </c>
    </row>
    <row r="9" spans="1:5" ht="13.5" customHeight="1" thickBot="1">
      <c r="A9" s="345" t="s">
        <v>130</v>
      </c>
      <c r="B9" s="345" t="s">
        <v>61</v>
      </c>
      <c r="C9" s="348" t="s">
        <v>333</v>
      </c>
      <c r="D9" s="350" t="s">
        <v>287</v>
      </c>
      <c r="E9" s="351"/>
    </row>
    <row r="10" spans="1:5" ht="13.5" thickBot="1">
      <c r="A10" s="346"/>
      <c r="B10" s="346"/>
      <c r="C10" s="349"/>
      <c r="D10" s="73" t="s">
        <v>344</v>
      </c>
      <c r="E10" s="69" t="s">
        <v>367</v>
      </c>
    </row>
    <row r="11" spans="1:5" ht="32.25" customHeight="1" thickBot="1">
      <c r="A11" s="241" t="s">
        <v>379</v>
      </c>
      <c r="B11" s="242" t="s">
        <v>219</v>
      </c>
      <c r="C11" s="297">
        <f>C14+C22</f>
        <v>599193.9</v>
      </c>
      <c r="D11" s="297">
        <f>D12</f>
        <v>247030</v>
      </c>
      <c r="E11" s="297">
        <f>E12</f>
        <v>253995</v>
      </c>
    </row>
    <row r="12" spans="1:5" ht="26.25" thickBot="1">
      <c r="A12" s="243" t="s">
        <v>218</v>
      </c>
      <c r="B12" s="242" t="s">
        <v>443</v>
      </c>
      <c r="C12" s="298">
        <f>C13+C15</f>
        <v>599193.9</v>
      </c>
      <c r="D12" s="298">
        <f>D13+D15</f>
        <v>247030</v>
      </c>
      <c r="E12" s="298">
        <f>E13+E15</f>
        <v>253995</v>
      </c>
    </row>
    <row r="13" spans="1:5" ht="26.25" thickBot="1">
      <c r="A13" s="59" t="s">
        <v>380</v>
      </c>
      <c r="B13" s="55" t="s">
        <v>444</v>
      </c>
      <c r="C13" s="299">
        <f>C14</f>
        <v>599193.9</v>
      </c>
      <c r="D13" s="299">
        <f>D14</f>
        <v>846223.9</v>
      </c>
      <c r="E13" s="299">
        <f>E14</f>
        <v>501025</v>
      </c>
    </row>
    <row r="14" spans="1:5" ht="39" thickBot="1">
      <c r="A14" s="59" t="s">
        <v>434</v>
      </c>
      <c r="B14" s="55" t="s">
        <v>445</v>
      </c>
      <c r="C14" s="299">
        <f>прилож1!D51</f>
        <v>599193.9</v>
      </c>
      <c r="D14" s="299">
        <f>C14+прилож1!E51</f>
        <v>846223.9</v>
      </c>
      <c r="E14" s="299">
        <f>(D14+D15)+прилож1!F51</f>
        <v>501025</v>
      </c>
    </row>
    <row r="15" spans="1:5" ht="26.25" thickBot="1">
      <c r="A15" s="59" t="s">
        <v>381</v>
      </c>
      <c r="B15" s="55" t="s">
        <v>446</v>
      </c>
      <c r="C15" s="299">
        <f>C16</f>
        <v>0</v>
      </c>
      <c r="D15" s="299">
        <f>D16</f>
        <v>-599193.9</v>
      </c>
      <c r="E15" s="299">
        <f>E16</f>
        <v>-247030</v>
      </c>
    </row>
    <row r="16" spans="1:5" ht="39" thickBot="1">
      <c r="A16" s="59" t="s">
        <v>435</v>
      </c>
      <c r="B16" s="55" t="s">
        <v>447</v>
      </c>
      <c r="C16" s="299">
        <v>0</v>
      </c>
      <c r="D16" s="299">
        <f>-C14</f>
        <v>-599193.9</v>
      </c>
      <c r="E16" s="299">
        <f>-D12</f>
        <v>-247030</v>
      </c>
    </row>
    <row r="17" spans="1:5" ht="26.25" hidden="1" thickBot="1">
      <c r="A17" s="243" t="s">
        <v>382</v>
      </c>
      <c r="B17" s="242" t="s">
        <v>448</v>
      </c>
      <c r="C17" s="244"/>
      <c r="D17" s="244"/>
      <c r="E17" s="244"/>
    </row>
    <row r="18" spans="1:5" ht="39" hidden="1" thickBot="1">
      <c r="A18" s="59" t="s">
        <v>383</v>
      </c>
      <c r="B18" s="55" t="s">
        <v>449</v>
      </c>
      <c r="C18" s="244"/>
      <c r="D18" s="244"/>
      <c r="E18" s="244"/>
    </row>
    <row r="19" spans="1:5" ht="51.75" hidden="1" thickBot="1">
      <c r="A19" s="59" t="s">
        <v>436</v>
      </c>
      <c r="B19" s="55" t="s">
        <v>450</v>
      </c>
      <c r="C19" s="244"/>
      <c r="D19" s="244"/>
      <c r="E19" s="244"/>
    </row>
    <row r="20" spans="1:5" ht="39" hidden="1" thickBot="1">
      <c r="A20" s="59" t="s">
        <v>384</v>
      </c>
      <c r="B20" s="55" t="s">
        <v>451</v>
      </c>
      <c r="C20" s="244"/>
      <c r="D20" s="244"/>
      <c r="E20" s="244"/>
    </row>
    <row r="21" spans="1:5" ht="51.75" hidden="1" thickBot="1">
      <c r="A21" s="59" t="s">
        <v>437</v>
      </c>
      <c r="B21" s="55" t="s">
        <v>452</v>
      </c>
      <c r="C21" s="244"/>
      <c r="D21" s="244"/>
      <c r="E21" s="244"/>
    </row>
    <row r="22" spans="1:5" ht="26.25" thickBot="1">
      <c r="A22" s="245" t="s">
        <v>385</v>
      </c>
      <c r="B22" s="246" t="s">
        <v>131</v>
      </c>
      <c r="C22" s="294">
        <v>0</v>
      </c>
      <c r="D22" s="294">
        <v>0</v>
      </c>
      <c r="E22" s="294">
        <v>0</v>
      </c>
    </row>
    <row r="23" spans="1:5" ht="13.5" thickBot="1">
      <c r="A23" s="124" t="s">
        <v>133</v>
      </c>
      <c r="B23" s="123" t="s">
        <v>386</v>
      </c>
      <c r="C23" s="295">
        <f aca="true" t="shared" si="0" ref="C23:E24">C24</f>
        <v>-18906183.14</v>
      </c>
      <c r="D23" s="295">
        <f t="shared" si="0"/>
        <v>-15099500</v>
      </c>
      <c r="E23" s="295">
        <f t="shared" si="0"/>
        <v>-14855600</v>
      </c>
    </row>
    <row r="24" spans="1:5" ht="13.5" thickBot="1">
      <c r="A24" s="124" t="s">
        <v>138</v>
      </c>
      <c r="B24" s="123" t="s">
        <v>365</v>
      </c>
      <c r="C24" s="295">
        <f t="shared" si="0"/>
        <v>-18906183.14</v>
      </c>
      <c r="D24" s="295">
        <f t="shared" si="0"/>
        <v>-15099500</v>
      </c>
      <c r="E24" s="295">
        <f t="shared" si="0"/>
        <v>-14855600</v>
      </c>
    </row>
    <row r="25" spans="1:5" ht="26.25" thickBot="1">
      <c r="A25" s="125" t="s">
        <v>139</v>
      </c>
      <c r="B25" s="126" t="s">
        <v>387</v>
      </c>
      <c r="C25" s="295">
        <f>-прилож1!D50</f>
        <v>-18906183.14</v>
      </c>
      <c r="D25" s="295">
        <f>-прилож1!E50</f>
        <v>-15099500</v>
      </c>
      <c r="E25" s="295">
        <f>-прилож1!F50</f>
        <v>-14855600</v>
      </c>
    </row>
    <row r="26" spans="1:5" ht="26.25" thickBot="1">
      <c r="A26" s="125" t="s">
        <v>388</v>
      </c>
      <c r="B26" s="126" t="s">
        <v>439</v>
      </c>
      <c r="C26" s="295">
        <f>C25</f>
        <v>-18906183.14</v>
      </c>
      <c r="D26" s="295">
        <f>D25</f>
        <v>-15099500</v>
      </c>
      <c r="E26" s="295">
        <f>E25</f>
        <v>-14855600</v>
      </c>
    </row>
    <row r="27" spans="1:5" ht="26.25" hidden="1" thickBot="1">
      <c r="A27" s="125" t="s">
        <v>388</v>
      </c>
      <c r="B27" s="123" t="s">
        <v>442</v>
      </c>
      <c r="C27" s="295"/>
      <c r="D27" s="295"/>
      <c r="E27" s="295"/>
    </row>
    <row r="28" spans="1:5" ht="13.5" thickBot="1">
      <c r="A28" s="124" t="s">
        <v>132</v>
      </c>
      <c r="B28" s="123" t="s">
        <v>389</v>
      </c>
      <c r="C28" s="295">
        <f aca="true" t="shared" si="1" ref="C28:E29">C29</f>
        <v>19505377.04499968</v>
      </c>
      <c r="D28" s="295">
        <f t="shared" si="1"/>
        <v>15346530.004999679</v>
      </c>
      <c r="E28" s="295">
        <f>E29</f>
        <v>15109595.004999679</v>
      </c>
    </row>
    <row r="29" spans="1:5" ht="13.5" thickBot="1">
      <c r="A29" s="124" t="s">
        <v>140</v>
      </c>
      <c r="B29" s="123" t="s">
        <v>390</v>
      </c>
      <c r="C29" s="295">
        <f t="shared" si="1"/>
        <v>19505377.04499968</v>
      </c>
      <c r="D29" s="295">
        <f t="shared" si="1"/>
        <v>15346530.004999679</v>
      </c>
      <c r="E29" s="295">
        <f t="shared" si="1"/>
        <v>15109595.004999679</v>
      </c>
    </row>
    <row r="30" spans="1:5" ht="25.5">
      <c r="A30" s="247" t="s">
        <v>141</v>
      </c>
      <c r="B30" s="248" t="s">
        <v>391</v>
      </c>
      <c r="C30" s="296">
        <f>'прил.4 ведомств'!I291</f>
        <v>19505377.04499968</v>
      </c>
      <c r="D30" s="296">
        <f>'прил.4 ведомств'!J291</f>
        <v>15346530.004999679</v>
      </c>
      <c r="E30" s="296">
        <f>'прил.4 ведомств'!K291</f>
        <v>15109595.004999679</v>
      </c>
    </row>
    <row r="31" spans="1:5" ht="25.5">
      <c r="A31" s="249" t="s">
        <v>392</v>
      </c>
      <c r="B31" s="240" t="s">
        <v>440</v>
      </c>
      <c r="C31" s="301">
        <f>C30</f>
        <v>19505377.04499968</v>
      </c>
      <c r="D31" s="301">
        <f>D30</f>
        <v>15346530.004999679</v>
      </c>
      <c r="E31" s="301">
        <f>E30</f>
        <v>15109595.004999679</v>
      </c>
    </row>
    <row r="32" spans="1:5" ht="25.5">
      <c r="A32" s="250" t="s">
        <v>393</v>
      </c>
      <c r="B32" s="251" t="s">
        <v>394</v>
      </c>
      <c r="C32" s="300">
        <v>0</v>
      </c>
      <c r="D32" s="300">
        <v>0</v>
      </c>
      <c r="E32" s="300">
        <v>0</v>
      </c>
    </row>
  </sheetData>
  <sheetProtection/>
  <mergeCells count="9">
    <mergeCell ref="A5:E5"/>
    <mergeCell ref="A6:E6"/>
    <mergeCell ref="A2:E2"/>
    <mergeCell ref="B9:B10"/>
    <mergeCell ref="A9:A10"/>
    <mergeCell ref="A4:C4"/>
    <mergeCell ref="C9:C10"/>
    <mergeCell ref="B3:E3"/>
    <mergeCell ref="D9:E9"/>
  </mergeCells>
  <printOptions/>
  <pageMargins left="0.51" right="0.29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3">
      <selection activeCell="A10" sqref="A10"/>
    </sheetView>
  </sheetViews>
  <sheetFormatPr defaultColWidth="9.00390625" defaultRowHeight="12.75"/>
  <cols>
    <col min="1" max="1" width="25.25390625" style="0" customWidth="1"/>
    <col min="2" max="2" width="13.75390625" style="0" customWidth="1"/>
    <col min="3" max="3" width="14.25390625" style="0" customWidth="1"/>
    <col min="4" max="4" width="11.625" style="0" customWidth="1"/>
    <col min="5" max="5" width="11.75390625" style="0" customWidth="1"/>
    <col min="6" max="6" width="16.75390625" style="0" customWidth="1"/>
  </cols>
  <sheetData>
    <row r="1" spans="1:6" ht="12.75">
      <c r="A1" s="360" t="s">
        <v>409</v>
      </c>
      <c r="B1" s="361"/>
      <c r="C1" s="361"/>
      <c r="D1" s="361"/>
      <c r="E1" s="361"/>
      <c r="F1" s="361"/>
    </row>
    <row r="2" spans="1:6" ht="72.75" customHeight="1">
      <c r="A2" s="75"/>
      <c r="B2" s="362" t="str">
        <f>прилож1!C4</f>
        <v>к проекту решения Думы МО "Гаханское" от "11" марта 2021 г. №82  "О внесении изменений в Решение Думы муниципального образования "Гаханское" от 24.12.2020 г. №76 "О бюджете муниципального образования «Гаханское» на 2021 год и плановый период 2022 - 2023 гг."</v>
      </c>
      <c r="C2" s="362"/>
      <c r="D2" s="362"/>
      <c r="E2" s="361"/>
      <c r="F2" s="361"/>
    </row>
    <row r="3" spans="1:4" ht="13.5">
      <c r="A3" s="74"/>
      <c r="B3" s="74"/>
      <c r="C3" s="67"/>
      <c r="D3" s="67"/>
    </row>
    <row r="4" spans="1:6" ht="36" customHeight="1">
      <c r="A4" s="363" t="s">
        <v>410</v>
      </c>
      <c r="B4" s="363"/>
      <c r="C4" s="364"/>
      <c r="D4" s="364"/>
      <c r="E4" s="365"/>
      <c r="F4" s="365"/>
    </row>
    <row r="5" spans="1:4" ht="13.5">
      <c r="A5" s="366"/>
      <c r="B5" s="366"/>
      <c r="C5" s="367"/>
      <c r="D5" s="367"/>
    </row>
    <row r="6" spans="1:4" ht="13.5">
      <c r="A6" s="77"/>
      <c r="B6" s="77"/>
      <c r="C6" s="72"/>
      <c r="D6" s="72"/>
    </row>
    <row r="7" spans="1:6" ht="14.25" thickBot="1">
      <c r="A7" s="77"/>
      <c r="B7" s="77"/>
      <c r="C7" s="71"/>
      <c r="D7" s="113"/>
      <c r="F7" s="284" t="s">
        <v>423</v>
      </c>
    </row>
    <row r="8" spans="1:6" ht="12.75" customHeight="1">
      <c r="A8" s="352" t="s">
        <v>411</v>
      </c>
      <c r="B8" s="352" t="s">
        <v>412</v>
      </c>
      <c r="C8" s="352" t="s">
        <v>414</v>
      </c>
      <c r="D8" s="354" t="s">
        <v>413</v>
      </c>
      <c r="E8" s="356" t="s">
        <v>415</v>
      </c>
      <c r="F8" s="352" t="s">
        <v>422</v>
      </c>
    </row>
    <row r="9" spans="1:6" ht="56.25" customHeight="1" thickBot="1">
      <c r="A9" s="368"/>
      <c r="B9" s="368"/>
      <c r="C9" s="353"/>
      <c r="D9" s="355"/>
      <c r="E9" s="357"/>
      <c r="F9" s="358"/>
    </row>
    <row r="10" spans="1:6" ht="26.25" customHeight="1">
      <c r="A10" s="280" t="s">
        <v>204</v>
      </c>
      <c r="B10" s="285">
        <f>B12+B13+B17</f>
        <v>0</v>
      </c>
      <c r="C10" s="285">
        <f>C12+C13+C17</f>
        <v>599193.9</v>
      </c>
      <c r="D10" s="285">
        <f>D12+D13+D17</f>
        <v>0</v>
      </c>
      <c r="E10" s="289">
        <f>E12+E13+E17</f>
        <v>0</v>
      </c>
      <c r="F10" s="293">
        <f>F12+F13+F17</f>
        <v>599193.9</v>
      </c>
    </row>
    <row r="11" spans="1:6" ht="13.5">
      <c r="A11" s="76" t="s">
        <v>416</v>
      </c>
      <c r="B11" s="286"/>
      <c r="C11" s="286"/>
      <c r="D11" s="286"/>
      <c r="E11" s="290"/>
      <c r="F11" s="286"/>
    </row>
    <row r="12" spans="1:6" ht="106.5" customHeight="1">
      <c r="A12" s="281" t="s">
        <v>417</v>
      </c>
      <c r="B12" s="286">
        <v>0</v>
      </c>
      <c r="C12" s="286">
        <v>0</v>
      </c>
      <c r="D12" s="286">
        <v>0</v>
      </c>
      <c r="E12" s="290">
        <v>0</v>
      </c>
      <c r="F12" s="286">
        <f>B12+C12-D12</f>
        <v>0</v>
      </c>
    </row>
    <row r="13" spans="1:8" ht="53.25" customHeight="1">
      <c r="A13" s="281" t="s">
        <v>418</v>
      </c>
      <c r="B13" s="286">
        <f>B15+B16</f>
        <v>0</v>
      </c>
      <c r="C13" s="286">
        <f>C15+C16</f>
        <v>599193.9</v>
      </c>
      <c r="D13" s="286">
        <f>D15+D16</f>
        <v>0</v>
      </c>
      <c r="E13" s="290">
        <f>E15+E16</f>
        <v>0</v>
      </c>
      <c r="F13" s="286">
        <f>B13+C13-D13</f>
        <v>599193.9</v>
      </c>
      <c r="H13" t="s">
        <v>282</v>
      </c>
    </row>
    <row r="14" spans="1:6" ht="13.5">
      <c r="A14" s="282" t="s">
        <v>416</v>
      </c>
      <c r="B14" s="287"/>
      <c r="C14" s="287"/>
      <c r="D14" s="287"/>
      <c r="E14" s="291"/>
      <c r="F14" s="286"/>
    </row>
    <row r="15" spans="1:6" ht="46.5" customHeight="1">
      <c r="A15" s="282" t="s">
        <v>419</v>
      </c>
      <c r="B15" s="287">
        <v>0</v>
      </c>
      <c r="C15" s="287">
        <v>0</v>
      </c>
      <c r="D15" s="287">
        <v>0</v>
      </c>
      <c r="E15" s="291">
        <v>0</v>
      </c>
      <c r="F15" s="286">
        <v>0</v>
      </c>
    </row>
    <row r="16" spans="1:6" ht="57" customHeight="1">
      <c r="A16" s="282" t="s">
        <v>420</v>
      </c>
      <c r="B16" s="287">
        <v>0</v>
      </c>
      <c r="C16" s="287">
        <f>прилож1!D51</f>
        <v>599193.9</v>
      </c>
      <c r="D16" s="287">
        <v>0</v>
      </c>
      <c r="E16" s="291">
        <v>0</v>
      </c>
      <c r="F16" s="286">
        <f>B16+C16-D16</f>
        <v>599193.9</v>
      </c>
    </row>
    <row r="17" spans="1:6" ht="60.75" customHeight="1" thickBot="1">
      <c r="A17" s="283" t="s">
        <v>421</v>
      </c>
      <c r="B17" s="288">
        <v>0</v>
      </c>
      <c r="C17" s="288">
        <v>0</v>
      </c>
      <c r="D17" s="288">
        <v>0</v>
      </c>
      <c r="E17" s="292">
        <v>0</v>
      </c>
      <c r="F17" s="288">
        <v>0</v>
      </c>
    </row>
    <row r="18" spans="1:4" ht="13.5">
      <c r="A18" s="77"/>
      <c r="B18" s="78"/>
      <c r="C18" s="67"/>
      <c r="D18" s="67"/>
    </row>
    <row r="19" spans="1:4" ht="13.5">
      <c r="A19" s="67"/>
      <c r="B19" s="67"/>
      <c r="C19" s="67"/>
      <c r="D19" s="67"/>
    </row>
    <row r="20" spans="1:4" ht="15.75" customHeight="1">
      <c r="A20" s="359"/>
      <c r="B20" s="359"/>
      <c r="C20" s="359"/>
      <c r="D20" s="359"/>
    </row>
  </sheetData>
  <sheetProtection/>
  <mergeCells count="11">
    <mergeCell ref="B8:B9"/>
    <mergeCell ref="C8:C9"/>
    <mergeCell ref="D8:D9"/>
    <mergeCell ref="E8:E9"/>
    <mergeCell ref="F8:F9"/>
    <mergeCell ref="A20:D20"/>
    <mergeCell ref="A1:F1"/>
    <mergeCell ref="B2:F2"/>
    <mergeCell ref="A4:F4"/>
    <mergeCell ref="A5:D5"/>
    <mergeCell ref="A8:A9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4">
      <selection activeCell="A2" sqref="A2"/>
    </sheetView>
  </sheetViews>
  <sheetFormatPr defaultColWidth="9.00390625" defaultRowHeight="12.75"/>
  <cols>
    <col min="1" max="1" width="42.00390625" style="0" customWidth="1"/>
    <col min="2" max="2" width="17.00390625" style="0" customWidth="1"/>
    <col min="3" max="3" width="16.625" style="0" customWidth="1"/>
    <col min="4" max="4" width="16.875" style="0" customWidth="1"/>
    <col min="5" max="5" width="17.375" style="0" customWidth="1"/>
    <col min="6" max="6" width="17.125" style="0" customWidth="1"/>
  </cols>
  <sheetData>
    <row r="1" spans="1:6" ht="12.75">
      <c r="A1" s="360" t="s">
        <v>507</v>
      </c>
      <c r="B1" s="361"/>
      <c r="C1" s="361"/>
      <c r="D1" s="361"/>
      <c r="E1" s="361"/>
      <c r="F1" s="361"/>
    </row>
    <row r="2" spans="1:6" ht="54" customHeight="1">
      <c r="A2" s="75"/>
      <c r="B2" s="362" t="str">
        <f>прилож1!C4</f>
        <v>к проекту решения Думы МО "Гаханское" от "11" марта 2021 г. №82  "О внесении изменений в Решение Думы муниципального образования "Гаханское" от 24.12.2020 г. №76 "О бюджете муниципального образования «Гаханское» на 2021 год и плановый период 2022 - 2023 гг."</v>
      </c>
      <c r="C2" s="362"/>
      <c r="D2" s="362"/>
      <c r="E2" s="361"/>
      <c r="F2" s="361"/>
    </row>
    <row r="3" spans="1:4" ht="13.5">
      <c r="A3" s="74"/>
      <c r="B3" s="74"/>
      <c r="C3" s="67"/>
      <c r="D3" s="67"/>
    </row>
    <row r="4" spans="1:6" ht="36" customHeight="1">
      <c r="A4" s="363" t="s">
        <v>428</v>
      </c>
      <c r="B4" s="363"/>
      <c r="C4" s="364"/>
      <c r="D4" s="364"/>
      <c r="E4" s="365"/>
      <c r="F4" s="365"/>
    </row>
    <row r="5" spans="1:4" ht="13.5">
      <c r="A5" s="366"/>
      <c r="B5" s="366"/>
      <c r="C5" s="367"/>
      <c r="D5" s="367"/>
    </row>
    <row r="6" spans="1:4" ht="13.5">
      <c r="A6" s="77"/>
      <c r="B6" s="77"/>
      <c r="C6" s="72"/>
      <c r="D6" s="72"/>
    </row>
    <row r="7" spans="1:6" ht="14.25" thickBot="1">
      <c r="A7" s="77"/>
      <c r="B7" s="77"/>
      <c r="C7" s="71"/>
      <c r="D7" s="113"/>
      <c r="F7" s="284" t="s">
        <v>423</v>
      </c>
    </row>
    <row r="8" spans="1:6" ht="12.75" customHeight="1">
      <c r="A8" s="352" t="s">
        <v>411</v>
      </c>
      <c r="B8" s="352" t="s">
        <v>422</v>
      </c>
      <c r="C8" s="352" t="s">
        <v>424</v>
      </c>
      <c r="D8" s="354" t="s">
        <v>425</v>
      </c>
      <c r="E8" s="354" t="s">
        <v>426</v>
      </c>
      <c r="F8" s="354" t="s">
        <v>427</v>
      </c>
    </row>
    <row r="9" spans="1:6" ht="56.25" customHeight="1" thickBot="1">
      <c r="A9" s="368"/>
      <c r="B9" s="368"/>
      <c r="C9" s="353"/>
      <c r="D9" s="355"/>
      <c r="E9" s="355"/>
      <c r="F9" s="355"/>
    </row>
    <row r="10" spans="1:6" ht="13.5">
      <c r="A10" s="280" t="s">
        <v>204</v>
      </c>
      <c r="B10" s="285">
        <f>B12+B13+B17</f>
        <v>599193.9</v>
      </c>
      <c r="C10" s="285">
        <f>C12+C13+C17</f>
        <v>247030</v>
      </c>
      <c r="D10" s="285">
        <f>D12+D13+D17</f>
        <v>-599193.9</v>
      </c>
      <c r="E10" s="285">
        <f>E12+E13+E17</f>
        <v>0</v>
      </c>
      <c r="F10" s="285">
        <f>F12+F13+F17</f>
        <v>247030</v>
      </c>
    </row>
    <row r="11" spans="1:6" ht="13.5">
      <c r="A11" s="76" t="s">
        <v>416</v>
      </c>
      <c r="B11" s="286"/>
      <c r="C11" s="286"/>
      <c r="D11" s="286"/>
      <c r="E11" s="286"/>
      <c r="F11" s="286"/>
    </row>
    <row r="12" spans="1:6" ht="54">
      <c r="A12" s="281" t="s">
        <v>417</v>
      </c>
      <c r="B12" s="286">
        <f>'прил.6.1'!F12</f>
        <v>0</v>
      </c>
      <c r="C12" s="286">
        <v>0</v>
      </c>
      <c r="D12" s="286">
        <v>0</v>
      </c>
      <c r="E12" s="286">
        <v>0</v>
      </c>
      <c r="F12" s="286">
        <v>0</v>
      </c>
    </row>
    <row r="13" spans="1:8" ht="27">
      <c r="A13" s="281" t="s">
        <v>418</v>
      </c>
      <c r="B13" s="286">
        <f>B15+B16</f>
        <v>599193.9</v>
      </c>
      <c r="C13" s="286">
        <f>C15+C16</f>
        <v>247030</v>
      </c>
      <c r="D13" s="286">
        <f>D15+D16</f>
        <v>-599193.9</v>
      </c>
      <c r="E13" s="286">
        <f>E15+E16</f>
        <v>0</v>
      </c>
      <c r="F13" s="286">
        <f>F15+F16</f>
        <v>247030</v>
      </c>
      <c r="H13" t="s">
        <v>282</v>
      </c>
    </row>
    <row r="14" spans="1:6" ht="13.5">
      <c r="A14" s="282" t="s">
        <v>416</v>
      </c>
      <c r="B14" s="287"/>
      <c r="C14" s="287"/>
      <c r="D14" s="287"/>
      <c r="E14" s="287"/>
      <c r="F14" s="287"/>
    </row>
    <row r="15" spans="1:6" ht="27">
      <c r="A15" s="282" t="s">
        <v>419</v>
      </c>
      <c r="B15" s="287">
        <f>'прил.6.1'!F15</f>
        <v>0</v>
      </c>
      <c r="C15" s="287">
        <v>0</v>
      </c>
      <c r="D15" s="287">
        <v>0</v>
      </c>
      <c r="E15" s="287">
        <v>0</v>
      </c>
      <c r="F15" s="287">
        <f>B15+C15-D15</f>
        <v>0</v>
      </c>
    </row>
    <row r="16" spans="1:6" ht="40.5">
      <c r="A16" s="282" t="s">
        <v>420</v>
      </c>
      <c r="B16" s="287">
        <f>'прил.6.1'!F16</f>
        <v>599193.9</v>
      </c>
      <c r="C16" s="287">
        <f>247030</f>
        <v>247030</v>
      </c>
      <c r="D16" s="287">
        <f>-B16</f>
        <v>-599193.9</v>
      </c>
      <c r="E16" s="287">
        <v>0</v>
      </c>
      <c r="F16" s="287">
        <f>B16+C16+D16</f>
        <v>247030</v>
      </c>
    </row>
    <row r="17" spans="1:6" ht="41.25" thickBot="1">
      <c r="A17" s="283" t="s">
        <v>421</v>
      </c>
      <c r="B17" s="288">
        <f>'прил.6.1'!F17</f>
        <v>0</v>
      </c>
      <c r="C17" s="288">
        <v>0</v>
      </c>
      <c r="D17" s="288">
        <v>0</v>
      </c>
      <c r="E17" s="288">
        <v>0</v>
      </c>
      <c r="F17" s="288">
        <v>0</v>
      </c>
    </row>
    <row r="18" spans="1:4" ht="13.5">
      <c r="A18" s="77"/>
      <c r="B18" s="78"/>
      <c r="C18" s="67"/>
      <c r="D18" s="67"/>
    </row>
    <row r="19" spans="1:4" ht="13.5">
      <c r="A19" s="67"/>
      <c r="B19" s="67"/>
      <c r="C19" s="67"/>
      <c r="D19" s="67"/>
    </row>
    <row r="20" spans="1:4" ht="15.75" customHeight="1">
      <c r="A20" s="359"/>
      <c r="B20" s="359"/>
      <c r="C20" s="359"/>
      <c r="D20" s="359"/>
    </row>
  </sheetData>
  <sheetProtection/>
  <mergeCells count="11">
    <mergeCell ref="B8:B9"/>
    <mergeCell ref="C8:C9"/>
    <mergeCell ref="D8:D9"/>
    <mergeCell ref="E8:E9"/>
    <mergeCell ref="F8:F9"/>
    <mergeCell ref="A20:D20"/>
    <mergeCell ref="A1:F1"/>
    <mergeCell ref="B2:F2"/>
    <mergeCell ref="A4:F4"/>
    <mergeCell ref="A5:D5"/>
    <mergeCell ref="A8:A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2.00390625" style="0" customWidth="1"/>
    <col min="2" max="2" width="17.25390625" style="0" customWidth="1"/>
    <col min="3" max="3" width="16.625" style="0" customWidth="1"/>
    <col min="4" max="4" width="16.875" style="0" customWidth="1"/>
    <col min="5" max="5" width="17.375" style="0" customWidth="1"/>
    <col min="6" max="6" width="16.875" style="0" customWidth="1"/>
  </cols>
  <sheetData>
    <row r="1" spans="1:6" ht="12.75">
      <c r="A1" s="360" t="s">
        <v>508</v>
      </c>
      <c r="B1" s="361"/>
      <c r="C1" s="361"/>
      <c r="D1" s="361"/>
      <c r="E1" s="361"/>
      <c r="F1" s="361"/>
    </row>
    <row r="2" spans="1:6" ht="54" customHeight="1">
      <c r="A2" s="75"/>
      <c r="B2" s="362" t="str">
        <f>прилож1!C4</f>
        <v>к проекту решения Думы МО "Гаханское" от "11" марта 2021 г. №82  "О внесении изменений в Решение Думы муниципального образования "Гаханское" от 24.12.2020 г. №76 "О бюджете муниципального образования «Гаханское» на 2021 год и плановый период 2022 - 2023 гг."</v>
      </c>
      <c r="C2" s="362"/>
      <c r="D2" s="362"/>
      <c r="E2" s="361"/>
      <c r="F2" s="361"/>
    </row>
    <row r="3" spans="1:4" ht="13.5">
      <c r="A3" s="74"/>
      <c r="B3" s="74"/>
      <c r="C3" s="67"/>
      <c r="D3" s="67"/>
    </row>
    <row r="4" spans="1:6" ht="36" customHeight="1">
      <c r="A4" s="363" t="s">
        <v>429</v>
      </c>
      <c r="B4" s="363"/>
      <c r="C4" s="364"/>
      <c r="D4" s="364"/>
      <c r="E4" s="365"/>
      <c r="F4" s="365"/>
    </row>
    <row r="5" spans="1:4" ht="13.5">
      <c r="A5" s="366"/>
      <c r="B5" s="366"/>
      <c r="C5" s="367"/>
      <c r="D5" s="367"/>
    </row>
    <row r="6" spans="1:4" ht="13.5">
      <c r="A6" s="77"/>
      <c r="B6" s="77"/>
      <c r="C6" s="72"/>
      <c r="D6" s="72"/>
    </row>
    <row r="7" spans="1:6" ht="14.25" thickBot="1">
      <c r="A7" s="77"/>
      <c r="B7" s="77"/>
      <c r="C7" s="71"/>
      <c r="D7" s="113"/>
      <c r="F7" s="284" t="s">
        <v>423</v>
      </c>
    </row>
    <row r="8" spans="1:6" ht="12.75" customHeight="1">
      <c r="A8" s="352" t="s">
        <v>411</v>
      </c>
      <c r="B8" s="352" t="s">
        <v>427</v>
      </c>
      <c r="C8" s="352" t="s">
        <v>430</v>
      </c>
      <c r="D8" s="354" t="s">
        <v>431</v>
      </c>
      <c r="E8" s="354" t="s">
        <v>432</v>
      </c>
      <c r="F8" s="354" t="s">
        <v>433</v>
      </c>
    </row>
    <row r="9" spans="1:6" ht="56.25" customHeight="1" thickBot="1">
      <c r="A9" s="368"/>
      <c r="B9" s="368"/>
      <c r="C9" s="353"/>
      <c r="D9" s="355"/>
      <c r="E9" s="355"/>
      <c r="F9" s="355"/>
    </row>
    <row r="10" spans="1:6" ht="13.5">
      <c r="A10" s="280" t="s">
        <v>204</v>
      </c>
      <c r="B10" s="285">
        <f>B12+B13+B17</f>
        <v>247030</v>
      </c>
      <c r="C10" s="285">
        <f>C12+C13+C17</f>
        <v>253995</v>
      </c>
      <c r="D10" s="285">
        <f>D12+D13+D17</f>
        <v>-247030</v>
      </c>
      <c r="E10" s="285">
        <v>0</v>
      </c>
      <c r="F10" s="285">
        <f>F12+F13+F17</f>
        <v>253995</v>
      </c>
    </row>
    <row r="11" spans="1:6" ht="13.5">
      <c r="A11" s="76" t="s">
        <v>416</v>
      </c>
      <c r="B11" s="286"/>
      <c r="C11" s="286"/>
      <c r="D11" s="286"/>
      <c r="E11" s="286"/>
      <c r="F11" s="286"/>
    </row>
    <row r="12" spans="1:6" ht="54">
      <c r="A12" s="281" t="s">
        <v>417</v>
      </c>
      <c r="B12" s="286">
        <f>'прил.6.2'!F12</f>
        <v>0</v>
      </c>
      <c r="C12" s="286">
        <v>0</v>
      </c>
      <c r="D12" s="286">
        <v>0</v>
      </c>
      <c r="E12" s="286">
        <v>0</v>
      </c>
      <c r="F12" s="286">
        <v>0</v>
      </c>
    </row>
    <row r="13" spans="1:8" ht="27">
      <c r="A13" s="281" t="s">
        <v>418</v>
      </c>
      <c r="B13" s="286">
        <f>B15+B16</f>
        <v>247030</v>
      </c>
      <c r="C13" s="286">
        <f>C15+C16</f>
        <v>253995</v>
      </c>
      <c r="D13" s="286">
        <f>D15+D16</f>
        <v>-247030</v>
      </c>
      <c r="E13" s="286">
        <f>E15+E16</f>
        <v>0</v>
      </c>
      <c r="F13" s="286">
        <f>B13+C13+D13</f>
        <v>253995</v>
      </c>
      <c r="H13" t="s">
        <v>282</v>
      </c>
    </row>
    <row r="14" spans="1:6" ht="13.5">
      <c r="A14" s="282" t="s">
        <v>416</v>
      </c>
      <c r="B14" s="287"/>
      <c r="C14" s="287"/>
      <c r="D14" s="287"/>
      <c r="E14" s="287"/>
      <c r="F14" s="287"/>
    </row>
    <row r="15" spans="1:6" ht="27">
      <c r="A15" s="282" t="s">
        <v>419</v>
      </c>
      <c r="B15" s="287">
        <f>'прил.6.2'!F15</f>
        <v>0</v>
      </c>
      <c r="C15" s="287">
        <v>0</v>
      </c>
      <c r="D15" s="287">
        <v>0</v>
      </c>
      <c r="E15" s="287">
        <v>0</v>
      </c>
      <c r="F15" s="287">
        <f>B15+C15+D15</f>
        <v>0</v>
      </c>
    </row>
    <row r="16" spans="1:6" ht="40.5">
      <c r="A16" s="282" t="s">
        <v>420</v>
      </c>
      <c r="B16" s="287">
        <f>'прил.6.2'!F16</f>
        <v>247030</v>
      </c>
      <c r="C16" s="287">
        <v>253995</v>
      </c>
      <c r="D16" s="287">
        <f>-B16</f>
        <v>-247030</v>
      </c>
      <c r="E16" s="287">
        <v>0</v>
      </c>
      <c r="F16" s="287">
        <f>B16+C16+D16</f>
        <v>253995</v>
      </c>
    </row>
    <row r="17" spans="1:6" ht="41.25" thickBot="1">
      <c r="A17" s="283" t="s">
        <v>421</v>
      </c>
      <c r="B17" s="288">
        <v>0</v>
      </c>
      <c r="C17" s="288">
        <v>0</v>
      </c>
      <c r="D17" s="288">
        <v>0</v>
      </c>
      <c r="E17" s="288">
        <v>0</v>
      </c>
      <c r="F17" s="288">
        <v>0</v>
      </c>
    </row>
    <row r="18" spans="1:4" ht="13.5">
      <c r="A18" s="77"/>
      <c r="B18" s="78"/>
      <c r="C18" s="67"/>
      <c r="D18" s="67"/>
    </row>
    <row r="19" spans="1:4" ht="13.5">
      <c r="A19" s="67"/>
      <c r="B19" s="67"/>
      <c r="C19" s="67"/>
      <c r="D19" s="67"/>
    </row>
    <row r="20" spans="1:4" ht="15.75" customHeight="1">
      <c r="A20" s="359"/>
      <c r="B20" s="359"/>
      <c r="C20" s="359"/>
      <c r="D20" s="359"/>
    </row>
  </sheetData>
  <sheetProtection/>
  <mergeCells count="11">
    <mergeCell ref="A20:D20"/>
    <mergeCell ref="A5:D5"/>
    <mergeCell ref="A8:A9"/>
    <mergeCell ref="B8:B9"/>
    <mergeCell ref="C8:C9"/>
    <mergeCell ref="D8:D9"/>
    <mergeCell ref="E8:E9"/>
    <mergeCell ref="F8:F9"/>
    <mergeCell ref="A1:F1"/>
    <mergeCell ref="B2:F2"/>
    <mergeCell ref="A4:F4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15.875" style="0" customWidth="1"/>
    <col min="2" max="2" width="19.25390625" style="0" customWidth="1"/>
    <col min="3" max="3" width="36.375" style="0" customWidth="1"/>
    <col min="4" max="4" width="48.125" style="0" customWidth="1"/>
  </cols>
  <sheetData>
    <row r="1" ht="12.75">
      <c r="D1" s="43" t="s">
        <v>205</v>
      </c>
    </row>
    <row r="2" ht="43.5" customHeight="1">
      <c r="D2" s="58" t="str">
        <f>прилож1!C4</f>
        <v>к проекту решения Думы МО "Гаханское" от "11" марта 2021 г. №82  "О внесении изменений в Решение Думы муниципального образования "Гаханское" от 24.12.2020 г. №76 "О бюджете муниципального образования «Гаханское» на 2021 год и плановый период 2022 - 2023 гг."</v>
      </c>
    </row>
    <row r="3" spans="1:4" ht="60" customHeight="1" thickBot="1">
      <c r="A3" s="369" t="s">
        <v>355</v>
      </c>
      <c r="B3" s="370"/>
      <c r="C3" s="370"/>
      <c r="D3" s="370"/>
    </row>
    <row r="4" spans="1:4" ht="59.25" customHeight="1" thickBot="1">
      <c r="A4" s="186" t="s">
        <v>216</v>
      </c>
      <c r="B4" s="122" t="s">
        <v>217</v>
      </c>
      <c r="C4" s="109" t="s">
        <v>64</v>
      </c>
      <c r="D4" s="108" t="s">
        <v>31</v>
      </c>
    </row>
    <row r="5" spans="1:4" ht="33" customHeight="1" thickBot="1">
      <c r="A5" s="371" t="s">
        <v>319</v>
      </c>
      <c r="B5" s="374" t="s">
        <v>317</v>
      </c>
      <c r="C5" s="110" t="s">
        <v>131</v>
      </c>
      <c r="D5" s="111" t="s">
        <v>137</v>
      </c>
    </row>
    <row r="6" spans="1:4" ht="27" customHeight="1" thickBot="1">
      <c r="A6" s="372"/>
      <c r="B6" s="375"/>
      <c r="C6" s="110" t="s">
        <v>365</v>
      </c>
      <c r="D6" s="111" t="s">
        <v>133</v>
      </c>
    </row>
    <row r="7" spans="1:4" ht="30.75" thickBot="1">
      <c r="A7" s="372"/>
      <c r="B7" s="375"/>
      <c r="C7" s="110" t="s">
        <v>438</v>
      </c>
      <c r="D7" s="111" t="s">
        <v>138</v>
      </c>
    </row>
    <row r="8" spans="1:4" ht="28.5" customHeight="1" thickBot="1">
      <c r="A8" s="372"/>
      <c r="B8" s="375"/>
      <c r="C8" s="110" t="s">
        <v>439</v>
      </c>
      <c r="D8" s="111" t="s">
        <v>139</v>
      </c>
    </row>
    <row r="9" spans="1:4" ht="18.75" customHeight="1" thickBot="1">
      <c r="A9" s="372"/>
      <c r="B9" s="375"/>
      <c r="C9" s="110" t="s">
        <v>389</v>
      </c>
      <c r="D9" s="111" t="s">
        <v>132</v>
      </c>
    </row>
    <row r="10" spans="1:4" ht="30.75" thickBot="1">
      <c r="A10" s="372"/>
      <c r="B10" s="375"/>
      <c r="C10" s="110" t="s">
        <v>390</v>
      </c>
      <c r="D10" s="111" t="s">
        <v>140</v>
      </c>
    </row>
    <row r="11" spans="1:4" ht="30.75" customHeight="1" thickBot="1">
      <c r="A11" s="373"/>
      <c r="B11" s="376"/>
      <c r="C11" s="110" t="s">
        <v>440</v>
      </c>
      <c r="D11" s="111" t="s">
        <v>141</v>
      </c>
    </row>
    <row r="12" spans="1:4" ht="15">
      <c r="A12" s="68"/>
      <c r="B12" s="68"/>
      <c r="C12" s="68"/>
      <c r="D12" s="112"/>
    </row>
    <row r="13" spans="1:4" ht="15">
      <c r="A13" s="377"/>
      <c r="B13" s="377"/>
      <c r="C13" s="377"/>
      <c r="D13" s="377"/>
    </row>
  </sheetData>
  <sheetProtection/>
  <mergeCells count="4">
    <mergeCell ref="A3:D3"/>
    <mergeCell ref="A5:A11"/>
    <mergeCell ref="B5:B11"/>
    <mergeCell ref="A13:D13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5">
      <selection activeCell="A1" sqref="A1:C21"/>
    </sheetView>
  </sheetViews>
  <sheetFormatPr defaultColWidth="9.00390625" defaultRowHeight="12.75"/>
  <cols>
    <col min="1" max="1" width="15.00390625" style="0" customWidth="1"/>
    <col min="2" max="2" width="32.75390625" style="0" customWidth="1"/>
    <col min="3" max="3" width="61.875" style="0" customWidth="1"/>
  </cols>
  <sheetData>
    <row r="1" spans="1:3" ht="12.75">
      <c r="A1" s="54"/>
      <c r="B1" s="54"/>
      <c r="C1" s="56" t="s">
        <v>168</v>
      </c>
    </row>
    <row r="2" spans="1:4" ht="51.75" customHeight="1">
      <c r="A2" s="52"/>
      <c r="B2" s="53"/>
      <c r="C2" s="52" t="str">
        <f>прилож1!C4</f>
        <v>к проекту решения Думы МО "Гаханское" от "11" марта 2021 г. №82  "О внесении изменений в Решение Думы муниципального образования "Гаханское" от 24.12.2020 г. №76 "О бюджете муниципального образования «Гаханское» на 2021 год и плановый период 2022 - 2023 гг."</v>
      </c>
      <c r="D2" s="57"/>
    </row>
    <row r="3" spans="1:3" ht="47.25" customHeight="1" thickBot="1">
      <c r="A3" s="378" t="s">
        <v>357</v>
      </c>
      <c r="B3" s="378"/>
      <c r="C3" s="378"/>
    </row>
    <row r="4" spans="1:3" ht="39.75" customHeight="1" thickBot="1">
      <c r="A4" s="379" t="s">
        <v>206</v>
      </c>
      <c r="B4" s="379"/>
      <c r="C4" s="380" t="s">
        <v>207</v>
      </c>
    </row>
    <row r="5" spans="1:3" ht="51" customHeight="1" thickBot="1">
      <c r="A5" s="302" t="s">
        <v>208</v>
      </c>
      <c r="B5" s="105" t="s">
        <v>209</v>
      </c>
      <c r="C5" s="381"/>
    </row>
    <row r="6" spans="1:3" ht="32.25" thickBot="1">
      <c r="A6" s="106" t="s">
        <v>318</v>
      </c>
      <c r="B6" s="105"/>
      <c r="C6" s="107" t="s">
        <v>316</v>
      </c>
    </row>
    <row r="7" spans="1:3" ht="68.25" thickBot="1">
      <c r="A7" s="177" t="s">
        <v>318</v>
      </c>
      <c r="B7" s="108" t="s">
        <v>358</v>
      </c>
      <c r="C7" s="178" t="s">
        <v>359</v>
      </c>
    </row>
    <row r="8" spans="1:3" ht="35.25" customHeight="1" thickBot="1">
      <c r="A8" s="177" t="s">
        <v>318</v>
      </c>
      <c r="B8" s="108" t="s">
        <v>214</v>
      </c>
      <c r="C8" s="179" t="s">
        <v>215</v>
      </c>
    </row>
    <row r="9" spans="1:3" ht="30.75" thickBot="1">
      <c r="A9" s="180">
        <v>250</v>
      </c>
      <c r="B9" s="181" t="s">
        <v>302</v>
      </c>
      <c r="C9" s="179" t="s">
        <v>211</v>
      </c>
    </row>
    <row r="10" spans="1:3" ht="21" customHeight="1" thickBot="1">
      <c r="A10" s="180">
        <v>250</v>
      </c>
      <c r="B10" s="181" t="s">
        <v>303</v>
      </c>
      <c r="C10" s="179" t="s">
        <v>212</v>
      </c>
    </row>
    <row r="11" spans="1:3" ht="32.25" thickBot="1">
      <c r="A11" s="182" t="s">
        <v>319</v>
      </c>
      <c r="B11" s="108"/>
      <c r="C11" s="107" t="s">
        <v>317</v>
      </c>
    </row>
    <row r="12" spans="1:3" ht="30.75" thickBot="1">
      <c r="A12" s="183" t="s">
        <v>319</v>
      </c>
      <c r="B12" s="181" t="s">
        <v>210</v>
      </c>
      <c r="C12" s="179" t="s">
        <v>211</v>
      </c>
    </row>
    <row r="13" spans="1:3" ht="30.75" thickBot="1">
      <c r="A13" s="183" t="s">
        <v>319</v>
      </c>
      <c r="B13" s="181" t="s">
        <v>334</v>
      </c>
      <c r="C13" s="179" t="s">
        <v>288</v>
      </c>
    </row>
    <row r="14" spans="1:3" ht="49.5" customHeight="1" thickBot="1">
      <c r="A14" s="316" t="s">
        <v>319</v>
      </c>
      <c r="B14" s="317" t="s">
        <v>517</v>
      </c>
      <c r="C14" s="318" t="s">
        <v>518</v>
      </c>
    </row>
    <row r="15" spans="1:3" ht="49.5" customHeight="1" thickBot="1">
      <c r="A15" s="183" t="s">
        <v>376</v>
      </c>
      <c r="B15" s="181" t="s">
        <v>377</v>
      </c>
      <c r="C15" s="184" t="str">
        <f>прилож1!C40</f>
        <v>Субсидии бюджетам сельских поселений на  реализацию программ формирования современной городской среды</v>
      </c>
    </row>
    <row r="16" spans="1:3" ht="49.5" customHeight="1" thickBot="1">
      <c r="A16" s="316" t="s">
        <v>319</v>
      </c>
      <c r="B16" s="317" t="s">
        <v>519</v>
      </c>
      <c r="C16" s="318" t="s">
        <v>515</v>
      </c>
    </row>
    <row r="17" spans="1:3" ht="36" customHeight="1" thickBot="1">
      <c r="A17" s="183" t="s">
        <v>319</v>
      </c>
      <c r="B17" s="181" t="s">
        <v>335</v>
      </c>
      <c r="C17" s="185" t="s">
        <v>283</v>
      </c>
    </row>
    <row r="18" spans="1:3" ht="63" customHeight="1" thickBot="1">
      <c r="A18" s="183" t="s">
        <v>319</v>
      </c>
      <c r="B18" s="181" t="s">
        <v>336</v>
      </c>
      <c r="C18" s="179" t="s">
        <v>284</v>
      </c>
    </row>
    <row r="19" spans="1:3" ht="54" customHeight="1" thickBot="1">
      <c r="A19" s="183" t="s">
        <v>319</v>
      </c>
      <c r="B19" s="227" t="s">
        <v>361</v>
      </c>
      <c r="C19" s="176" t="s">
        <v>285</v>
      </c>
    </row>
    <row r="20" spans="1:3" ht="35.25" customHeight="1" thickBot="1">
      <c r="A20" s="183" t="s">
        <v>319</v>
      </c>
      <c r="B20" s="181" t="s">
        <v>337</v>
      </c>
      <c r="C20" s="185" t="s">
        <v>286</v>
      </c>
    </row>
    <row r="21" spans="1:3" ht="117.75" customHeight="1" thickBot="1">
      <c r="A21" s="183" t="s">
        <v>319</v>
      </c>
      <c r="B21" s="227" t="s">
        <v>360</v>
      </c>
      <c r="C21" s="179" t="s">
        <v>213</v>
      </c>
    </row>
    <row r="22" spans="1:3" ht="15">
      <c r="A22" s="382"/>
      <c r="B22" s="382"/>
      <c r="C22" s="382"/>
    </row>
    <row r="23" spans="1:3" ht="15">
      <c r="A23" s="68"/>
      <c r="B23" s="68"/>
      <c r="C23" s="68"/>
    </row>
    <row r="24" spans="1:3" ht="15">
      <c r="A24" s="68"/>
      <c r="B24" s="68"/>
      <c r="C24" s="68"/>
    </row>
  </sheetData>
  <sheetProtection/>
  <mergeCells count="4">
    <mergeCell ref="A3:C3"/>
    <mergeCell ref="A4:B4"/>
    <mergeCell ref="C4:C5"/>
    <mergeCell ref="A22:C22"/>
  </mergeCells>
  <printOptions/>
  <pageMargins left="1.1023622047244095" right="0.31496062992125984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9">
      <selection activeCell="A1" sqref="A1:F53"/>
    </sheetView>
  </sheetViews>
  <sheetFormatPr defaultColWidth="9.00390625" defaultRowHeight="12.75"/>
  <cols>
    <col min="1" max="1" width="33.375" style="0" customWidth="1"/>
    <col min="2" max="2" width="0.74609375" style="0" hidden="1" customWidth="1"/>
    <col min="3" max="3" width="65.625" style="0" customWidth="1"/>
    <col min="4" max="4" width="16.25390625" style="0" customWidth="1"/>
    <col min="5" max="5" width="16.625" style="0" customWidth="1"/>
    <col min="6" max="6" width="16.75390625" style="0" customWidth="1"/>
    <col min="7" max="7" width="13.125" style="0" customWidth="1"/>
    <col min="8" max="8" width="26.375" style="0" customWidth="1"/>
  </cols>
  <sheetData>
    <row r="1" spans="1:4" ht="12.75">
      <c r="A1" s="420"/>
      <c r="B1" s="406"/>
      <c r="C1" s="406"/>
      <c r="D1" s="406"/>
    </row>
    <row r="2" spans="1:4" ht="12.75">
      <c r="A2" s="420"/>
      <c r="B2" s="406"/>
      <c r="C2" s="406"/>
      <c r="D2" s="406"/>
    </row>
    <row r="3" spans="1:6" ht="12.75">
      <c r="A3" s="420"/>
      <c r="B3" s="324" t="s">
        <v>167</v>
      </c>
      <c r="C3" s="324"/>
      <c r="D3" s="324"/>
      <c r="E3" s="325"/>
      <c r="F3" s="325"/>
    </row>
    <row r="4" spans="1:6" ht="25.5" customHeight="1">
      <c r="A4" s="44"/>
      <c r="B4" s="42"/>
      <c r="C4" s="324" t="s">
        <v>531</v>
      </c>
      <c r="D4" s="424"/>
      <c r="E4" s="325"/>
      <c r="F4" s="325"/>
    </row>
    <row r="5" spans="1:6" ht="23.25" customHeight="1">
      <c r="A5" s="425" t="s">
        <v>364</v>
      </c>
      <c r="B5" s="425"/>
      <c r="C5" s="425"/>
      <c r="D5" s="425"/>
      <c r="E5" s="426"/>
      <c r="F5" s="426"/>
    </row>
    <row r="6" spans="1:6" ht="23.25" customHeight="1">
      <c r="A6" s="128"/>
      <c r="B6" s="128"/>
      <c r="C6" s="128"/>
      <c r="D6" s="128"/>
      <c r="E6" s="127"/>
      <c r="F6" s="127"/>
    </row>
    <row r="7" spans="1:6" ht="14.25" thickBot="1">
      <c r="A7" s="407"/>
      <c r="B7" s="407"/>
      <c r="C7" s="79"/>
      <c r="D7" s="423" t="s">
        <v>112</v>
      </c>
      <c r="E7" s="423"/>
      <c r="F7" s="423"/>
    </row>
    <row r="8" spans="1:6" ht="14.25" thickBot="1">
      <c r="A8" s="408" t="s">
        <v>64</v>
      </c>
      <c r="B8" s="409"/>
      <c r="C8" s="412" t="s">
        <v>147</v>
      </c>
      <c r="D8" s="414" t="s">
        <v>366</v>
      </c>
      <c r="E8" s="427" t="s">
        <v>287</v>
      </c>
      <c r="F8" s="428"/>
    </row>
    <row r="9" spans="1:6" ht="14.25" thickBot="1">
      <c r="A9" s="410"/>
      <c r="B9" s="411"/>
      <c r="C9" s="413"/>
      <c r="D9" s="415"/>
      <c r="E9" s="188" t="s">
        <v>344</v>
      </c>
      <c r="F9" s="189" t="s">
        <v>367</v>
      </c>
    </row>
    <row r="10" spans="1:6" ht="18" customHeight="1" thickBot="1">
      <c r="A10" s="421" t="s">
        <v>48</v>
      </c>
      <c r="B10" s="422"/>
      <c r="C10" s="80" t="s">
        <v>49</v>
      </c>
      <c r="D10" s="198">
        <f>SUM(D12+D22+D20+D15+D29)</f>
        <v>5156200</v>
      </c>
      <c r="E10" s="198">
        <f>SUM(E12+E22+E20+E15+E29)</f>
        <v>4940600</v>
      </c>
      <c r="F10" s="199">
        <f>SUM(F12+F22+F20+F15+F29)</f>
        <v>5079900</v>
      </c>
    </row>
    <row r="11" spans="1:6" ht="15.75" customHeight="1" thickBot="1">
      <c r="A11" s="396" t="s">
        <v>50</v>
      </c>
      <c r="B11" s="397"/>
      <c r="C11" s="83" t="s">
        <v>152</v>
      </c>
      <c r="D11" s="193">
        <f aca="true" t="shared" si="0" ref="D11:F13">SUM(D12)</f>
        <v>2700000</v>
      </c>
      <c r="E11" s="193">
        <f t="shared" si="0"/>
        <v>2500000</v>
      </c>
      <c r="F11" s="195">
        <f t="shared" si="0"/>
        <v>2500000</v>
      </c>
    </row>
    <row r="12" spans="1:6" ht="17.25" customHeight="1" thickBot="1">
      <c r="A12" s="396" t="s">
        <v>52</v>
      </c>
      <c r="B12" s="397"/>
      <c r="C12" s="84" t="s">
        <v>51</v>
      </c>
      <c r="D12" s="193">
        <f t="shared" si="0"/>
        <v>2700000</v>
      </c>
      <c r="E12" s="193">
        <f t="shared" si="0"/>
        <v>2500000</v>
      </c>
      <c r="F12" s="200">
        <f t="shared" si="0"/>
        <v>2500000</v>
      </c>
    </row>
    <row r="13" spans="1:8" ht="17.25" customHeight="1" thickBot="1">
      <c r="A13" s="396" t="s">
        <v>53</v>
      </c>
      <c r="B13" s="397"/>
      <c r="C13" s="84" t="s">
        <v>54</v>
      </c>
      <c r="D13" s="193">
        <f t="shared" si="0"/>
        <v>2700000</v>
      </c>
      <c r="E13" s="193">
        <f t="shared" si="0"/>
        <v>2500000</v>
      </c>
      <c r="F13" s="200">
        <f t="shared" si="0"/>
        <v>2500000</v>
      </c>
      <c r="G13" s="387"/>
      <c r="H13" s="325"/>
    </row>
    <row r="14" spans="1:8" ht="39.75" customHeight="1" thickBot="1">
      <c r="A14" s="396" t="s">
        <v>151</v>
      </c>
      <c r="B14" s="397"/>
      <c r="C14" s="103" t="s">
        <v>292</v>
      </c>
      <c r="D14" s="201">
        <f>2500000+200000</f>
        <v>2700000</v>
      </c>
      <c r="E14" s="202">
        <v>2500000</v>
      </c>
      <c r="F14" s="203">
        <v>2500000</v>
      </c>
      <c r="G14" s="388"/>
      <c r="H14" s="325"/>
    </row>
    <row r="15" spans="1:8" ht="36.75" customHeight="1" thickBot="1">
      <c r="A15" s="85" t="s">
        <v>338</v>
      </c>
      <c r="B15" s="86"/>
      <c r="C15" s="104" t="s">
        <v>187</v>
      </c>
      <c r="D15" s="204">
        <f>SUM(D16:D19)</f>
        <v>2076200</v>
      </c>
      <c r="E15" s="204">
        <f>SUM(E16:E19)</f>
        <v>2160600</v>
      </c>
      <c r="F15" s="205">
        <f>SUM(F16:F19)</f>
        <v>2299900</v>
      </c>
      <c r="G15" s="50"/>
      <c r="H15" s="51"/>
    </row>
    <row r="16" spans="1:8" ht="53.25" customHeight="1" thickBot="1">
      <c r="A16" s="87" t="s">
        <v>172</v>
      </c>
      <c r="B16" s="88"/>
      <c r="C16" s="89" t="s">
        <v>182</v>
      </c>
      <c r="D16" s="172">
        <v>955052</v>
      </c>
      <c r="E16" s="206">
        <v>993876</v>
      </c>
      <c r="F16" s="207">
        <f>1057954</f>
        <v>1057954</v>
      </c>
      <c r="G16" s="50"/>
      <c r="H16" s="51"/>
    </row>
    <row r="17" spans="1:8" ht="65.25" customHeight="1" thickBot="1">
      <c r="A17" s="90" t="s">
        <v>173</v>
      </c>
      <c r="B17" s="91"/>
      <c r="C17" s="92" t="s">
        <v>183</v>
      </c>
      <c r="D17" s="170">
        <v>4153</v>
      </c>
      <c r="E17" s="208">
        <v>4321</v>
      </c>
      <c r="F17" s="171">
        <v>4600</v>
      </c>
      <c r="G17" s="50"/>
      <c r="H17" s="51"/>
    </row>
    <row r="18" spans="1:8" ht="67.5" customHeight="1" thickBot="1">
      <c r="A18" s="90" t="s">
        <v>174</v>
      </c>
      <c r="B18" s="91"/>
      <c r="C18" s="92" t="s">
        <v>185</v>
      </c>
      <c r="D18" s="170">
        <v>1116995</v>
      </c>
      <c r="E18" s="202">
        <f>1162403</f>
        <v>1162403</v>
      </c>
      <c r="F18" s="209">
        <v>1237346</v>
      </c>
      <c r="G18" s="50"/>
      <c r="H18" s="51"/>
    </row>
    <row r="19" spans="1:8" ht="39.75" customHeight="1" thickBot="1">
      <c r="A19" s="90" t="s">
        <v>175</v>
      </c>
      <c r="B19" s="91"/>
      <c r="C19" s="92" t="s">
        <v>184</v>
      </c>
      <c r="D19" s="170">
        <v>0</v>
      </c>
      <c r="E19" s="208">
        <v>0</v>
      </c>
      <c r="F19" s="171">
        <v>0</v>
      </c>
      <c r="G19" s="50"/>
      <c r="H19" s="51"/>
    </row>
    <row r="20" spans="1:6" ht="14.25" thickBot="1">
      <c r="A20" s="396" t="s">
        <v>121</v>
      </c>
      <c r="B20" s="397"/>
      <c r="C20" s="84" t="s">
        <v>129</v>
      </c>
      <c r="D20" s="193">
        <f>D21</f>
        <v>30000</v>
      </c>
      <c r="E20" s="193">
        <f>E21</f>
        <v>30000</v>
      </c>
      <c r="F20" s="195">
        <f>F21</f>
        <v>30000</v>
      </c>
    </row>
    <row r="21" spans="1:6" ht="15.75" customHeight="1" thickBot="1">
      <c r="A21" s="81" t="s">
        <v>142</v>
      </c>
      <c r="B21" s="82"/>
      <c r="C21" s="94" t="s">
        <v>122</v>
      </c>
      <c r="D21" s="210">
        <v>30000</v>
      </c>
      <c r="E21" s="208">
        <v>30000</v>
      </c>
      <c r="F21" s="171">
        <v>30000</v>
      </c>
    </row>
    <row r="22" spans="1:6" ht="14.25" thickBot="1">
      <c r="A22" s="396" t="s">
        <v>55</v>
      </c>
      <c r="B22" s="397"/>
      <c r="C22" s="84" t="s">
        <v>56</v>
      </c>
      <c r="D22" s="193">
        <f>SUM(D23+D25)</f>
        <v>350000</v>
      </c>
      <c r="E22" s="194">
        <f>SUM(E23+E25)</f>
        <v>250000</v>
      </c>
      <c r="F22" s="195">
        <f>SUM(F23+F25)</f>
        <v>250000</v>
      </c>
    </row>
    <row r="23" spans="1:8" ht="14.25" thickBot="1">
      <c r="A23" s="396" t="s">
        <v>114</v>
      </c>
      <c r="B23" s="397"/>
      <c r="C23" s="84" t="s">
        <v>115</v>
      </c>
      <c r="D23" s="193">
        <f>D24</f>
        <v>110000</v>
      </c>
      <c r="E23" s="193">
        <f>E24</f>
        <v>55000</v>
      </c>
      <c r="F23" s="200">
        <f>F24</f>
        <v>55000</v>
      </c>
      <c r="G23" s="389"/>
      <c r="H23" s="390"/>
    </row>
    <row r="24" spans="1:8" ht="44.25" customHeight="1" thickBot="1">
      <c r="A24" s="394" t="s">
        <v>80</v>
      </c>
      <c r="B24" s="395"/>
      <c r="C24" s="96" t="s">
        <v>143</v>
      </c>
      <c r="D24" s="170">
        <f>55000+55000</f>
        <v>110000</v>
      </c>
      <c r="E24" s="211">
        <v>55000</v>
      </c>
      <c r="F24" s="212">
        <v>55000</v>
      </c>
      <c r="G24" s="388"/>
      <c r="H24" s="325"/>
    </row>
    <row r="25" spans="1:6" ht="14.25" thickBot="1">
      <c r="A25" s="396" t="s">
        <v>57</v>
      </c>
      <c r="B25" s="397"/>
      <c r="C25" s="84" t="s">
        <v>58</v>
      </c>
      <c r="D25" s="193">
        <f>SUM(D26+D28)</f>
        <v>240000</v>
      </c>
      <c r="E25" s="194">
        <f>SUM(E26+E28)</f>
        <v>195000</v>
      </c>
      <c r="F25" s="195">
        <f>SUM(F26+F28)</f>
        <v>195000</v>
      </c>
    </row>
    <row r="26" spans="1:8" ht="27" customHeight="1" thickBot="1">
      <c r="A26" s="396" t="s">
        <v>116</v>
      </c>
      <c r="B26" s="397"/>
      <c r="C26" s="84" t="s">
        <v>117</v>
      </c>
      <c r="D26" s="170">
        <f>SUM(D27)</f>
        <v>95000</v>
      </c>
      <c r="E26" s="170">
        <f>SUM(E27)</f>
        <v>50000</v>
      </c>
      <c r="F26" s="203">
        <f>SUM(F27)</f>
        <v>50000</v>
      </c>
      <c r="G26" s="388"/>
      <c r="H26" s="325"/>
    </row>
    <row r="27" spans="1:8" ht="54" customHeight="1" thickBot="1">
      <c r="A27" s="394" t="s">
        <v>222</v>
      </c>
      <c r="B27" s="395"/>
      <c r="C27" s="96" t="s">
        <v>118</v>
      </c>
      <c r="D27" s="170">
        <f>50000+45000</f>
        <v>95000</v>
      </c>
      <c r="E27" s="208">
        <v>50000</v>
      </c>
      <c r="F27" s="171">
        <v>50000</v>
      </c>
      <c r="G27" s="391"/>
      <c r="H27" s="390"/>
    </row>
    <row r="28" spans="1:8" ht="54" customHeight="1" thickBot="1">
      <c r="A28" s="93" t="s">
        <v>223</v>
      </c>
      <c r="B28" s="95"/>
      <c r="C28" s="96" t="s">
        <v>171</v>
      </c>
      <c r="D28" s="170">
        <f>'[1]2019 план'!$C$57+33000</f>
        <v>145000</v>
      </c>
      <c r="E28" s="171">
        <f>D28</f>
        <v>145000</v>
      </c>
      <c r="F28" s="171">
        <f>E28</f>
        <v>145000</v>
      </c>
      <c r="G28" s="49"/>
      <c r="H28" s="48"/>
    </row>
    <row r="29" spans="1:8" ht="54" customHeight="1" thickBot="1">
      <c r="A29" s="117" t="s">
        <v>295</v>
      </c>
      <c r="B29" s="95"/>
      <c r="C29" s="121" t="s">
        <v>294</v>
      </c>
      <c r="D29" s="170">
        <f aca="true" t="shared" si="1" ref="D29:F31">D30</f>
        <v>0</v>
      </c>
      <c r="E29" s="170">
        <f t="shared" si="1"/>
        <v>0</v>
      </c>
      <c r="F29" s="171">
        <f t="shared" si="1"/>
        <v>0</v>
      </c>
      <c r="G29" s="49"/>
      <c r="H29" s="48"/>
    </row>
    <row r="30" spans="1:8" ht="54" customHeight="1" thickBot="1">
      <c r="A30" s="118" t="s">
        <v>297</v>
      </c>
      <c r="B30" s="95"/>
      <c r="C30" s="161" t="s">
        <v>296</v>
      </c>
      <c r="D30" s="170">
        <f t="shared" si="1"/>
        <v>0</v>
      </c>
      <c r="E30" s="170">
        <f t="shared" si="1"/>
        <v>0</v>
      </c>
      <c r="F30" s="171">
        <f t="shared" si="1"/>
        <v>0</v>
      </c>
      <c r="G30" s="49"/>
      <c r="H30" s="48"/>
    </row>
    <row r="31" spans="1:8" ht="54" customHeight="1" thickBot="1">
      <c r="A31" s="119" t="s">
        <v>299</v>
      </c>
      <c r="B31" s="95"/>
      <c r="C31" s="161" t="s">
        <v>298</v>
      </c>
      <c r="D31" s="170">
        <f t="shared" si="1"/>
        <v>0</v>
      </c>
      <c r="E31" s="170">
        <f t="shared" si="1"/>
        <v>0</v>
      </c>
      <c r="F31" s="171">
        <f t="shared" si="1"/>
        <v>0</v>
      </c>
      <c r="G31" s="49"/>
      <c r="H31" s="48"/>
    </row>
    <row r="32" spans="1:8" ht="69" customHeight="1" thickBot="1">
      <c r="A32" s="120" t="s">
        <v>301</v>
      </c>
      <c r="B32" s="95"/>
      <c r="C32" s="160" t="s">
        <v>300</v>
      </c>
      <c r="D32" s="170">
        <v>0</v>
      </c>
      <c r="E32" s="202">
        <v>0</v>
      </c>
      <c r="F32" s="209">
        <v>0</v>
      </c>
      <c r="G32" s="49"/>
      <c r="H32" s="48"/>
    </row>
    <row r="33" spans="1:6" ht="18" customHeight="1" thickBot="1">
      <c r="A33" s="400"/>
      <c r="B33" s="401"/>
      <c r="C33" s="238" t="s">
        <v>144</v>
      </c>
      <c r="D33" s="234">
        <f>D10</f>
        <v>5156200</v>
      </c>
      <c r="E33" s="235">
        <f>E10</f>
        <v>4940600</v>
      </c>
      <c r="F33" s="236">
        <f>F10</f>
        <v>5079900</v>
      </c>
    </row>
    <row r="34" spans="1:6" ht="18" customHeight="1" thickBot="1">
      <c r="A34" s="402" t="s">
        <v>339</v>
      </c>
      <c r="B34" s="403"/>
      <c r="C34" s="237" t="s">
        <v>59</v>
      </c>
      <c r="D34" s="234">
        <f>SUM(D35)</f>
        <v>13749983.14</v>
      </c>
      <c r="E34" s="235">
        <f>SUM(E35)</f>
        <v>10158900</v>
      </c>
      <c r="F34" s="236">
        <f>SUM(F35)</f>
        <v>9775700</v>
      </c>
    </row>
    <row r="35" spans="1:6" ht="27" customHeight="1" thickBot="1">
      <c r="A35" s="396" t="s">
        <v>340</v>
      </c>
      <c r="B35" s="397"/>
      <c r="C35" s="99" t="s">
        <v>150</v>
      </c>
      <c r="D35" s="193">
        <f>SUM(D36+D39+D43+D48)</f>
        <v>13749983.14</v>
      </c>
      <c r="E35" s="194">
        <f>SUM(E36+E39+E43)</f>
        <v>10158900</v>
      </c>
      <c r="F35" s="195">
        <f>SUM(F36+F39+F43)</f>
        <v>9775700</v>
      </c>
    </row>
    <row r="36" spans="1:6" ht="24" customHeight="1" thickBot="1">
      <c r="A36" s="396" t="s">
        <v>351</v>
      </c>
      <c r="B36" s="397"/>
      <c r="C36" s="84" t="s">
        <v>119</v>
      </c>
      <c r="D36" s="193">
        <f>SUM(D37+D38)</f>
        <v>8151600</v>
      </c>
      <c r="E36" s="193">
        <f>SUM(E37+E38)</f>
        <v>9301400</v>
      </c>
      <c r="F36" s="200">
        <f>SUM(F37+F38)</f>
        <v>8912500</v>
      </c>
    </row>
    <row r="37" spans="1:6" s="191" customFormat="1" ht="32.25" customHeight="1" thickBot="1">
      <c r="A37" s="398" t="s">
        <v>350</v>
      </c>
      <c r="B37" s="399"/>
      <c r="C37" s="190" t="s">
        <v>342</v>
      </c>
      <c r="D37" s="213">
        <v>164800</v>
      </c>
      <c r="E37" s="213">
        <v>0</v>
      </c>
      <c r="F37" s="214">
        <v>0</v>
      </c>
    </row>
    <row r="38" spans="1:6" s="191" customFormat="1" ht="42" customHeight="1" thickBot="1">
      <c r="A38" s="398" t="s">
        <v>350</v>
      </c>
      <c r="B38" s="399"/>
      <c r="C38" s="190" t="s">
        <v>341</v>
      </c>
      <c r="D38" s="215">
        <v>7986800</v>
      </c>
      <c r="E38" s="215">
        <v>9301400</v>
      </c>
      <c r="F38" s="216">
        <v>8912500</v>
      </c>
    </row>
    <row r="39" spans="1:8" s="191" customFormat="1" ht="36.75" customHeight="1" thickBot="1">
      <c r="A39" s="404" t="s">
        <v>374</v>
      </c>
      <c r="B39" s="405"/>
      <c r="C39" s="192" t="s">
        <v>120</v>
      </c>
      <c r="D39" s="217">
        <f>D40+D41+D42</f>
        <v>5412583.14</v>
      </c>
      <c r="E39" s="217">
        <f>E40+E41+E42</f>
        <v>670200</v>
      </c>
      <c r="F39" s="218">
        <f>F40+F41+F42</f>
        <v>670200</v>
      </c>
      <c r="G39" s="383"/>
      <c r="H39" s="384"/>
    </row>
    <row r="40" spans="1:8" s="191" customFormat="1" ht="36.75" customHeight="1" thickBot="1">
      <c r="A40" s="230" t="s">
        <v>368</v>
      </c>
      <c r="B40" s="231"/>
      <c r="C40" s="190" t="s">
        <v>375</v>
      </c>
      <c r="D40" s="213">
        <f>742343.14+40</f>
        <v>742383.14</v>
      </c>
      <c r="E40" s="213">
        <v>0</v>
      </c>
      <c r="F40" s="214">
        <v>0</v>
      </c>
      <c r="G40" s="228"/>
      <c r="H40" s="229"/>
    </row>
    <row r="41" spans="1:8" s="191" customFormat="1" ht="56.25" customHeight="1" thickBot="1">
      <c r="A41" s="230" t="s">
        <v>514</v>
      </c>
      <c r="B41" s="231"/>
      <c r="C41" s="190" t="s">
        <v>516</v>
      </c>
      <c r="D41" s="213">
        <f>978941.5+40789.22</f>
        <v>1019730.72</v>
      </c>
      <c r="E41" s="213">
        <f>0</f>
        <v>0</v>
      </c>
      <c r="F41" s="214">
        <v>0</v>
      </c>
      <c r="G41" s="228"/>
      <c r="H41" s="229"/>
    </row>
    <row r="42" spans="1:7" ht="26.25" customHeight="1" thickBot="1">
      <c r="A42" s="394" t="s">
        <v>352</v>
      </c>
      <c r="B42" s="395"/>
      <c r="C42" s="96" t="s">
        <v>283</v>
      </c>
      <c r="D42" s="213">
        <f>670200+2980269.28</f>
        <v>3650469.28</v>
      </c>
      <c r="E42" s="215">
        <v>670200</v>
      </c>
      <c r="F42" s="216">
        <v>670200</v>
      </c>
      <c r="G42" s="47"/>
    </row>
    <row r="43" spans="1:6" ht="26.25" customHeight="1" thickBot="1">
      <c r="A43" s="396" t="s">
        <v>371</v>
      </c>
      <c r="B43" s="397"/>
      <c r="C43" s="98" t="s">
        <v>289</v>
      </c>
      <c r="D43" s="219">
        <f>SUM(D44+D46)</f>
        <v>185800</v>
      </c>
      <c r="E43" s="219">
        <f>SUM(E44+E46)</f>
        <v>187300</v>
      </c>
      <c r="F43" s="220">
        <f>SUM(F44+F46)</f>
        <v>193000</v>
      </c>
    </row>
    <row r="44" spans="1:6" ht="40.5" customHeight="1" thickBot="1">
      <c r="A44" s="396" t="s">
        <v>370</v>
      </c>
      <c r="B44" s="397"/>
      <c r="C44" s="98" t="s">
        <v>149</v>
      </c>
      <c r="D44" s="219">
        <f>SUM(D45)</f>
        <v>137300</v>
      </c>
      <c r="E44" s="219">
        <f>E45</f>
        <v>138800</v>
      </c>
      <c r="F44" s="220">
        <f>F45</f>
        <v>144500</v>
      </c>
    </row>
    <row r="45" spans="1:6" s="191" customFormat="1" ht="43.5" customHeight="1" thickBot="1">
      <c r="A45" s="398" t="s">
        <v>369</v>
      </c>
      <c r="B45" s="399"/>
      <c r="C45" s="190" t="s">
        <v>284</v>
      </c>
      <c r="D45" s="213">
        <v>137300</v>
      </c>
      <c r="E45" s="221">
        <v>138800</v>
      </c>
      <c r="F45" s="222">
        <v>144500</v>
      </c>
    </row>
    <row r="46" spans="1:6" ht="33" customHeight="1" thickBot="1">
      <c r="A46" s="396" t="s">
        <v>353</v>
      </c>
      <c r="B46" s="397"/>
      <c r="C46" s="99" t="s">
        <v>148</v>
      </c>
      <c r="D46" s="194">
        <f>D47</f>
        <v>48500</v>
      </c>
      <c r="E46" s="194">
        <f>E47</f>
        <v>48500</v>
      </c>
      <c r="F46" s="195">
        <f>F47</f>
        <v>48500</v>
      </c>
    </row>
    <row r="47" spans="1:8" ht="36.75" customHeight="1" thickBot="1">
      <c r="A47" s="394" t="s">
        <v>354</v>
      </c>
      <c r="B47" s="395"/>
      <c r="C47" s="92" t="s">
        <v>285</v>
      </c>
      <c r="D47" s="215">
        <f>47800+700</f>
        <v>48500</v>
      </c>
      <c r="E47" s="221">
        <f>47800+700</f>
        <v>48500</v>
      </c>
      <c r="F47" s="216">
        <f>47800+700</f>
        <v>48500</v>
      </c>
      <c r="G47" s="385"/>
      <c r="H47" s="386"/>
    </row>
    <row r="48" spans="1:8" ht="29.25" customHeight="1" thickBot="1">
      <c r="A48" s="396" t="s">
        <v>372</v>
      </c>
      <c r="B48" s="397"/>
      <c r="C48" s="239" t="s">
        <v>262</v>
      </c>
      <c r="D48" s="194">
        <v>0</v>
      </c>
      <c r="E48" s="194">
        <f>E49</f>
        <v>0</v>
      </c>
      <c r="F48" s="195">
        <f>F49</f>
        <v>0</v>
      </c>
      <c r="G48" s="50"/>
      <c r="H48" s="115"/>
    </row>
    <row r="49" spans="1:8" ht="27" customHeight="1" thickBot="1">
      <c r="A49" s="394" t="s">
        <v>373</v>
      </c>
      <c r="B49" s="395"/>
      <c r="C49" s="116" t="s">
        <v>293</v>
      </c>
      <c r="D49" s="208">
        <v>0</v>
      </c>
      <c r="E49" s="171">
        <v>0</v>
      </c>
      <c r="F49" s="171">
        <v>0</v>
      </c>
      <c r="G49" s="50"/>
      <c r="H49" s="115"/>
    </row>
    <row r="50" spans="1:6" ht="15" customHeight="1" thickBot="1">
      <c r="A50" s="392"/>
      <c r="B50" s="393"/>
      <c r="C50" s="130" t="s">
        <v>60</v>
      </c>
      <c r="D50" s="204">
        <f>SUM(D33+D34)</f>
        <v>18906183.14</v>
      </c>
      <c r="E50" s="198">
        <f>SUM(E33+E34)</f>
        <v>15099500</v>
      </c>
      <c r="F50" s="223">
        <f>SUM(F33+F34)</f>
        <v>14855600</v>
      </c>
    </row>
    <row r="51" spans="1:6" ht="16.5" customHeight="1" thickBot="1">
      <c r="A51" s="394"/>
      <c r="B51" s="395"/>
      <c r="C51" s="100" t="s">
        <v>510</v>
      </c>
      <c r="D51" s="232">
        <f>D10*5%+341383.9</f>
        <v>599193.9</v>
      </c>
      <c r="E51" s="232">
        <f>E10*5%</f>
        <v>247030</v>
      </c>
      <c r="F51" s="233">
        <f>F10*5%</f>
        <v>253995</v>
      </c>
    </row>
    <row r="52" spans="1:6" ht="17.25" customHeight="1" thickBot="1">
      <c r="A52" s="394"/>
      <c r="B52" s="395"/>
      <c r="C52" s="97" t="s">
        <v>111</v>
      </c>
      <c r="D52" s="196">
        <f>SUM(D33+D34+D51)</f>
        <v>19505377.04</v>
      </c>
      <c r="E52" s="196">
        <f>SUM(E33+E34+E51)</f>
        <v>15346530</v>
      </c>
      <c r="F52" s="197">
        <f>SUM(F33+F34+F51)</f>
        <v>15109595</v>
      </c>
    </row>
    <row r="53" spans="1:6" ht="13.5">
      <c r="A53" s="101"/>
      <c r="B53" s="101"/>
      <c r="C53" s="102"/>
      <c r="D53" s="101"/>
      <c r="E53" s="67"/>
      <c r="F53" s="67"/>
    </row>
    <row r="54" spans="1:6" ht="13.5">
      <c r="A54" s="418"/>
      <c r="B54" s="418"/>
      <c r="C54" s="418"/>
      <c r="D54" s="419"/>
      <c r="E54" s="67"/>
      <c r="F54" s="67"/>
    </row>
    <row r="55" spans="1:4" ht="12.75">
      <c r="A55" s="45"/>
      <c r="B55" s="45"/>
      <c r="C55" s="45"/>
      <c r="D55" s="45"/>
    </row>
    <row r="56" ht="12.75">
      <c r="A56" s="46" t="s">
        <v>145</v>
      </c>
    </row>
    <row r="59" spans="3:4" ht="12.75">
      <c r="C59" s="416"/>
      <c r="D59" s="417"/>
    </row>
  </sheetData>
  <sheetProtection/>
  <mergeCells count="52">
    <mergeCell ref="A37:B37"/>
    <mergeCell ref="A23:B23"/>
    <mergeCell ref="A24:B24"/>
    <mergeCell ref="D7:F7"/>
    <mergeCell ref="C4:F4"/>
    <mergeCell ref="A5:F5"/>
    <mergeCell ref="E8:F8"/>
    <mergeCell ref="C59:D59"/>
    <mergeCell ref="A54:D54"/>
    <mergeCell ref="A52:B52"/>
    <mergeCell ref="A1:A3"/>
    <mergeCell ref="B1:D1"/>
    <mergeCell ref="A10:B10"/>
    <mergeCell ref="A35:B35"/>
    <mergeCell ref="A36:B36"/>
    <mergeCell ref="A38:B38"/>
    <mergeCell ref="A11:B11"/>
    <mergeCell ref="B2:D2"/>
    <mergeCell ref="A7:B7"/>
    <mergeCell ref="A8:B9"/>
    <mergeCell ref="C8:C9"/>
    <mergeCell ref="D8:D9"/>
    <mergeCell ref="A13:B13"/>
    <mergeCell ref="B3:F3"/>
    <mergeCell ref="A12:B12"/>
    <mergeCell ref="A42:B42"/>
    <mergeCell ref="A14:B14"/>
    <mergeCell ref="A20:B20"/>
    <mergeCell ref="A27:B27"/>
    <mergeCell ref="A33:B33"/>
    <mergeCell ref="A22:B22"/>
    <mergeCell ref="A34:B34"/>
    <mergeCell ref="A39:B39"/>
    <mergeCell ref="A25:B25"/>
    <mergeCell ref="A26:B26"/>
    <mergeCell ref="A50:B50"/>
    <mergeCell ref="A51:B51"/>
    <mergeCell ref="A43:B43"/>
    <mergeCell ref="A46:B46"/>
    <mergeCell ref="A47:B47"/>
    <mergeCell ref="A44:B44"/>
    <mergeCell ref="A45:B45"/>
    <mergeCell ref="A49:B49"/>
    <mergeCell ref="A48:B48"/>
    <mergeCell ref="G39:H39"/>
    <mergeCell ref="G47:H47"/>
    <mergeCell ref="G13:H13"/>
    <mergeCell ref="G14:H14"/>
    <mergeCell ref="G23:H23"/>
    <mergeCell ref="G24:H24"/>
    <mergeCell ref="G26:H26"/>
    <mergeCell ref="G27:H27"/>
  </mergeCells>
  <printOptions/>
  <pageMargins left="1.5748031496062993" right="0.15748031496062992" top="0.1968503937007874" bottom="0.2755905511811024" header="0.15748031496062992" footer="0.2362204724409449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1"/>
  <sheetViews>
    <sheetView zoomScale="85" zoomScaleNormal="85" zoomScalePageLayoutView="0" workbookViewId="0" topLeftCell="A1">
      <selection activeCell="H38" sqref="H38"/>
    </sheetView>
  </sheetViews>
  <sheetFormatPr defaultColWidth="9.00390625" defaultRowHeight="12.75"/>
  <cols>
    <col min="1" max="1" width="54.125" style="0" customWidth="1"/>
    <col min="2" max="2" width="8.875" style="0" customWidth="1"/>
    <col min="3" max="3" width="8.75390625" style="0" customWidth="1"/>
    <col min="4" max="4" width="9.75390625" style="0" customWidth="1"/>
    <col min="5" max="5" width="13.625" style="0" customWidth="1"/>
    <col min="6" max="6" width="9.25390625" style="0" customWidth="1"/>
    <col min="7" max="7" width="9.375" style="0" customWidth="1"/>
    <col min="8" max="8" width="13.00390625" style="0" customWidth="1"/>
  </cols>
  <sheetData>
    <row r="1" spans="5:8" ht="12.75">
      <c r="E1" s="430" t="s">
        <v>98</v>
      </c>
      <c r="F1" s="430"/>
      <c r="G1" s="430"/>
      <c r="H1" s="430"/>
    </row>
    <row r="2" spans="5:8" ht="12.75">
      <c r="E2" s="31" t="s">
        <v>66</v>
      </c>
      <c r="F2" s="31"/>
      <c r="G2" s="31"/>
      <c r="H2" s="31"/>
    </row>
    <row r="3" spans="1:8" ht="12.75">
      <c r="A3" s="27"/>
      <c r="E3" t="s">
        <v>99</v>
      </c>
      <c r="G3" s="31"/>
      <c r="H3" s="31"/>
    </row>
    <row r="4" spans="1:8" ht="12.75">
      <c r="A4" s="27"/>
      <c r="E4" t="s">
        <v>100</v>
      </c>
      <c r="G4" s="31"/>
      <c r="H4" s="31"/>
    </row>
    <row r="5" spans="5:8" ht="12.75">
      <c r="E5" s="31"/>
      <c r="F5" s="31"/>
      <c r="G5" s="37"/>
      <c r="H5" s="31"/>
    </row>
    <row r="6" spans="1:8" ht="27.75" customHeight="1">
      <c r="A6" s="429" t="s">
        <v>103</v>
      </c>
      <c r="B6" s="429"/>
      <c r="C6" s="429"/>
      <c r="D6" s="429"/>
      <c r="E6" s="429"/>
      <c r="F6" s="429"/>
      <c r="G6" s="429"/>
      <c r="H6" s="429"/>
    </row>
    <row r="7" ht="15.75" customHeight="1"/>
    <row r="8" spans="1:8" ht="12.75">
      <c r="A8" s="7"/>
      <c r="B8" s="8" t="s">
        <v>30</v>
      </c>
      <c r="C8" s="8"/>
      <c r="D8" s="8"/>
      <c r="E8" s="8"/>
      <c r="F8" s="9"/>
      <c r="G8" s="10"/>
      <c r="H8" s="10"/>
    </row>
    <row r="9" spans="1:8" ht="48.75" customHeight="1">
      <c r="A9" s="11" t="s">
        <v>31</v>
      </c>
      <c r="B9" s="30" t="s">
        <v>32</v>
      </c>
      <c r="C9" s="12" t="s">
        <v>33</v>
      </c>
      <c r="D9" s="12" t="s">
        <v>34</v>
      </c>
      <c r="E9" s="12" t="s">
        <v>35</v>
      </c>
      <c r="F9" s="13" t="s">
        <v>36</v>
      </c>
      <c r="G9" s="14" t="s">
        <v>65</v>
      </c>
      <c r="H9" s="14" t="s">
        <v>38</v>
      </c>
    </row>
    <row r="10" spans="1:10" ht="25.5">
      <c r="A10" s="28" t="s">
        <v>102</v>
      </c>
      <c r="B10" s="17" t="s">
        <v>101</v>
      </c>
      <c r="C10" s="16"/>
      <c r="D10" s="10"/>
      <c r="E10" s="16"/>
      <c r="F10" s="10"/>
      <c r="G10" s="16"/>
      <c r="H10" s="34">
        <f>H12+H50+H73+H103+H41+H90+H96</f>
        <v>1928.3999999999999</v>
      </c>
      <c r="I10">
        <v>1093.4</v>
      </c>
      <c r="J10" s="27"/>
    </row>
    <row r="11" spans="1:8" ht="6.75" customHeight="1">
      <c r="A11" s="26"/>
      <c r="B11" s="3"/>
      <c r="C11" s="16"/>
      <c r="D11" s="2"/>
      <c r="E11" s="16"/>
      <c r="F11" s="2"/>
      <c r="G11" s="16"/>
      <c r="H11" s="2"/>
    </row>
    <row r="12" spans="1:10" ht="12.75">
      <c r="A12" s="20" t="s">
        <v>0</v>
      </c>
      <c r="B12" s="17" t="s">
        <v>101</v>
      </c>
      <c r="C12" s="4" t="s">
        <v>1</v>
      </c>
      <c r="D12" s="3" t="s">
        <v>2</v>
      </c>
      <c r="E12" s="4" t="s">
        <v>3</v>
      </c>
      <c r="F12" s="3" t="s">
        <v>4</v>
      </c>
      <c r="G12" s="4" t="s">
        <v>4</v>
      </c>
      <c r="H12" s="2">
        <f>H14+H22</f>
        <v>707.5</v>
      </c>
      <c r="J12" s="27"/>
    </row>
    <row r="13" spans="1:8" ht="9.75" customHeight="1">
      <c r="A13" s="20"/>
      <c r="B13" s="3"/>
      <c r="C13" s="4"/>
      <c r="D13" s="3"/>
      <c r="E13" s="4"/>
      <c r="F13" s="3"/>
      <c r="G13" s="4"/>
      <c r="H13" s="2"/>
    </row>
    <row r="14" spans="1:8" ht="25.5">
      <c r="A14" s="15" t="s">
        <v>81</v>
      </c>
      <c r="B14" s="17" t="s">
        <v>101</v>
      </c>
      <c r="C14" s="4" t="s">
        <v>1</v>
      </c>
      <c r="D14" s="3" t="s">
        <v>39</v>
      </c>
      <c r="E14" s="4" t="s">
        <v>3</v>
      </c>
      <c r="F14" s="6" t="s">
        <v>4</v>
      </c>
      <c r="G14" s="5" t="s">
        <v>4</v>
      </c>
      <c r="H14" s="25">
        <f>H15</f>
        <v>212</v>
      </c>
    </row>
    <row r="15" spans="1:8" ht="51">
      <c r="A15" s="15" t="s">
        <v>82</v>
      </c>
      <c r="B15" s="17" t="s">
        <v>101</v>
      </c>
      <c r="C15" s="4" t="s">
        <v>1</v>
      </c>
      <c r="D15" s="3" t="s">
        <v>39</v>
      </c>
      <c r="E15" s="4" t="s">
        <v>83</v>
      </c>
      <c r="F15" s="3" t="s">
        <v>4</v>
      </c>
      <c r="G15" s="4" t="s">
        <v>4</v>
      </c>
      <c r="H15" s="25">
        <f>H16</f>
        <v>212</v>
      </c>
    </row>
    <row r="16" spans="1:8" ht="12.75">
      <c r="A16" s="20" t="s">
        <v>84</v>
      </c>
      <c r="B16" s="17" t="s">
        <v>101</v>
      </c>
      <c r="C16" s="4" t="s">
        <v>1</v>
      </c>
      <c r="D16" s="3" t="s">
        <v>39</v>
      </c>
      <c r="E16" s="4" t="s">
        <v>85</v>
      </c>
      <c r="F16" s="3" t="s">
        <v>4</v>
      </c>
      <c r="G16" s="4" t="s">
        <v>4</v>
      </c>
      <c r="H16" s="25">
        <f>H17</f>
        <v>212</v>
      </c>
    </row>
    <row r="17" spans="1:8" ht="12.75">
      <c r="A17" s="20" t="s">
        <v>86</v>
      </c>
      <c r="B17" s="17" t="s">
        <v>101</v>
      </c>
      <c r="C17" s="4" t="s">
        <v>1</v>
      </c>
      <c r="D17" s="3" t="s">
        <v>39</v>
      </c>
      <c r="E17" s="4" t="s">
        <v>85</v>
      </c>
      <c r="F17" s="3">
        <v>500</v>
      </c>
      <c r="G17" s="4" t="s">
        <v>4</v>
      </c>
      <c r="H17" s="25">
        <f>H18</f>
        <v>212</v>
      </c>
    </row>
    <row r="18" spans="1:10" ht="12.75">
      <c r="A18" s="15" t="s">
        <v>9</v>
      </c>
      <c r="B18" s="17" t="s">
        <v>101</v>
      </c>
      <c r="C18" s="4" t="s">
        <v>1</v>
      </c>
      <c r="D18" s="3" t="s">
        <v>39</v>
      </c>
      <c r="E18" s="4" t="s">
        <v>85</v>
      </c>
      <c r="F18" s="3">
        <v>500</v>
      </c>
      <c r="G18" s="4">
        <v>210</v>
      </c>
      <c r="H18" s="25">
        <f>H19+H20</f>
        <v>212</v>
      </c>
      <c r="J18" s="27"/>
    </row>
    <row r="19" spans="1:11" ht="12.75">
      <c r="A19" s="15" t="s">
        <v>10</v>
      </c>
      <c r="B19" s="17" t="s">
        <v>101</v>
      </c>
      <c r="C19" s="4" t="s">
        <v>1</v>
      </c>
      <c r="D19" s="3" t="s">
        <v>39</v>
      </c>
      <c r="E19" s="4" t="s">
        <v>85</v>
      </c>
      <c r="F19" s="3">
        <v>500</v>
      </c>
      <c r="G19" s="4">
        <v>211</v>
      </c>
      <c r="H19" s="25">
        <v>168</v>
      </c>
      <c r="J19" s="5">
        <v>168</v>
      </c>
      <c r="K19" s="5">
        <v>100</v>
      </c>
    </row>
    <row r="20" spans="1:11" ht="12.75">
      <c r="A20" s="15" t="s">
        <v>12</v>
      </c>
      <c r="B20" s="17" t="s">
        <v>101</v>
      </c>
      <c r="C20" s="4" t="s">
        <v>1</v>
      </c>
      <c r="D20" s="3" t="s">
        <v>39</v>
      </c>
      <c r="E20" s="4" t="s">
        <v>85</v>
      </c>
      <c r="F20" s="3">
        <v>500</v>
      </c>
      <c r="G20" s="4">
        <v>213</v>
      </c>
      <c r="H20" s="25">
        <v>44</v>
      </c>
      <c r="J20" s="5">
        <v>44</v>
      </c>
      <c r="K20" s="5">
        <v>26.2</v>
      </c>
    </row>
    <row r="21" spans="1:8" ht="8.25" customHeight="1" hidden="1">
      <c r="A21" s="20"/>
      <c r="B21" s="17" t="s">
        <v>101</v>
      </c>
      <c r="C21" s="4"/>
      <c r="D21" s="3"/>
      <c r="E21" s="4"/>
      <c r="F21" s="3"/>
      <c r="G21" s="4"/>
      <c r="H21" s="2"/>
    </row>
    <row r="22" spans="1:10" ht="38.25">
      <c r="A22" s="15" t="s">
        <v>5</v>
      </c>
      <c r="B22" s="17" t="s">
        <v>101</v>
      </c>
      <c r="C22" s="4" t="s">
        <v>1</v>
      </c>
      <c r="D22" s="3" t="s">
        <v>6</v>
      </c>
      <c r="E22" s="4" t="s">
        <v>3</v>
      </c>
      <c r="F22" s="6" t="s">
        <v>4</v>
      </c>
      <c r="G22" s="5" t="s">
        <v>4</v>
      </c>
      <c r="H22" s="2">
        <f>H23</f>
        <v>495.5</v>
      </c>
      <c r="J22">
        <f>212/7</f>
        <v>30.285714285714285</v>
      </c>
    </row>
    <row r="23" spans="1:8" ht="25.5">
      <c r="A23" s="15" t="s">
        <v>7</v>
      </c>
      <c r="B23" s="17" t="s">
        <v>101</v>
      </c>
      <c r="C23" s="4" t="s">
        <v>1</v>
      </c>
      <c r="D23" s="3" t="s">
        <v>6</v>
      </c>
      <c r="E23" s="4" t="s">
        <v>83</v>
      </c>
      <c r="F23" s="3" t="s">
        <v>4</v>
      </c>
      <c r="G23" s="4" t="s">
        <v>4</v>
      </c>
      <c r="H23" s="2">
        <f>H24</f>
        <v>495.5</v>
      </c>
    </row>
    <row r="24" spans="1:8" ht="12.75">
      <c r="A24" s="15" t="s">
        <v>97</v>
      </c>
      <c r="B24" s="17" t="s">
        <v>101</v>
      </c>
      <c r="C24" s="4" t="s">
        <v>1</v>
      </c>
      <c r="D24" s="3" t="s">
        <v>6</v>
      </c>
      <c r="E24" s="4" t="s">
        <v>87</v>
      </c>
      <c r="F24" s="3" t="s">
        <v>4</v>
      </c>
      <c r="G24" s="4" t="s">
        <v>4</v>
      </c>
      <c r="H24" s="2">
        <f>H25</f>
        <v>495.5</v>
      </c>
    </row>
    <row r="25" spans="1:8" ht="25.5">
      <c r="A25" s="15" t="s">
        <v>89</v>
      </c>
      <c r="B25" s="17" t="s">
        <v>101</v>
      </c>
      <c r="C25" s="4" t="s">
        <v>1</v>
      </c>
      <c r="D25" s="3" t="s">
        <v>6</v>
      </c>
      <c r="E25" s="4" t="s">
        <v>87</v>
      </c>
      <c r="F25" s="3" t="s">
        <v>88</v>
      </c>
      <c r="G25" s="4" t="s">
        <v>4</v>
      </c>
      <c r="H25" s="2">
        <f>H26+H30+H36+H37</f>
        <v>495.5</v>
      </c>
    </row>
    <row r="26" spans="1:8" ht="12.75">
      <c r="A26" s="15" t="s">
        <v>9</v>
      </c>
      <c r="B26" s="17" t="s">
        <v>101</v>
      </c>
      <c r="C26" s="4" t="s">
        <v>1</v>
      </c>
      <c r="D26" s="3" t="s">
        <v>6</v>
      </c>
      <c r="E26" s="4" t="s">
        <v>87</v>
      </c>
      <c r="F26" s="3" t="s">
        <v>88</v>
      </c>
      <c r="G26" s="4">
        <v>210</v>
      </c>
      <c r="H26" s="2">
        <f>H27+H28+H29</f>
        <v>316.4</v>
      </c>
    </row>
    <row r="27" spans="1:8" ht="12.75">
      <c r="A27" s="15" t="s">
        <v>10</v>
      </c>
      <c r="B27" s="17" t="s">
        <v>101</v>
      </c>
      <c r="C27" s="4" t="s">
        <v>1</v>
      </c>
      <c r="D27" s="3" t="s">
        <v>6</v>
      </c>
      <c r="E27" s="4" t="s">
        <v>87</v>
      </c>
      <c r="F27" s="3" t="s">
        <v>88</v>
      </c>
      <c r="G27" s="4">
        <v>211</v>
      </c>
      <c r="H27" s="25">
        <f>220+30.7</f>
        <v>250.7</v>
      </c>
    </row>
    <row r="28" spans="1:8" ht="12.75" hidden="1">
      <c r="A28" s="15" t="s">
        <v>11</v>
      </c>
      <c r="B28" s="17" t="s">
        <v>101</v>
      </c>
      <c r="C28" s="4" t="s">
        <v>1</v>
      </c>
      <c r="D28" s="3" t="s">
        <v>6</v>
      </c>
      <c r="E28" s="4" t="s">
        <v>87</v>
      </c>
      <c r="F28" s="3" t="s">
        <v>88</v>
      </c>
      <c r="G28" s="4">
        <v>212</v>
      </c>
      <c r="H28" s="2"/>
    </row>
    <row r="29" spans="1:8" ht="12.75">
      <c r="A29" s="15" t="s">
        <v>12</v>
      </c>
      <c r="B29" s="17" t="s">
        <v>101</v>
      </c>
      <c r="C29" s="4" t="s">
        <v>1</v>
      </c>
      <c r="D29" s="3" t="s">
        <v>6</v>
      </c>
      <c r="E29" s="4" t="s">
        <v>87</v>
      </c>
      <c r="F29" s="3" t="s">
        <v>88</v>
      </c>
      <c r="G29" s="4">
        <v>213</v>
      </c>
      <c r="H29" s="2">
        <v>65.7</v>
      </c>
    </row>
    <row r="30" spans="1:8" ht="12.75">
      <c r="A30" s="15" t="s">
        <v>13</v>
      </c>
      <c r="B30" s="17" t="s">
        <v>101</v>
      </c>
      <c r="C30" s="4" t="s">
        <v>1</v>
      </c>
      <c r="D30" s="3" t="s">
        <v>6</v>
      </c>
      <c r="E30" s="4" t="s">
        <v>87</v>
      </c>
      <c r="F30" s="3" t="s">
        <v>88</v>
      </c>
      <c r="G30" s="4">
        <v>220</v>
      </c>
      <c r="H30" s="25">
        <f>H31+H32+H33+H34+H35</f>
        <v>102</v>
      </c>
    </row>
    <row r="31" spans="1:8" ht="12.75">
      <c r="A31" s="15" t="s">
        <v>14</v>
      </c>
      <c r="B31" s="17" t="s">
        <v>101</v>
      </c>
      <c r="C31" s="4" t="s">
        <v>1</v>
      </c>
      <c r="D31" s="3" t="s">
        <v>6</v>
      </c>
      <c r="E31" s="4" t="s">
        <v>87</v>
      </c>
      <c r="F31" s="3" t="s">
        <v>88</v>
      </c>
      <c r="G31" s="4">
        <v>221</v>
      </c>
      <c r="H31" s="25">
        <v>12</v>
      </c>
    </row>
    <row r="32" spans="1:8" ht="12.75" hidden="1">
      <c r="A32" s="15" t="s">
        <v>15</v>
      </c>
      <c r="B32" s="17" t="s">
        <v>101</v>
      </c>
      <c r="C32" s="4" t="s">
        <v>1</v>
      </c>
      <c r="D32" s="3" t="s">
        <v>6</v>
      </c>
      <c r="E32" s="4" t="s">
        <v>87</v>
      </c>
      <c r="F32" s="3" t="s">
        <v>88</v>
      </c>
      <c r="G32" s="4">
        <v>222</v>
      </c>
      <c r="H32" s="25"/>
    </row>
    <row r="33" spans="1:8" ht="12.75">
      <c r="A33" s="15" t="s">
        <v>16</v>
      </c>
      <c r="B33" s="17" t="s">
        <v>101</v>
      </c>
      <c r="C33" s="4" t="s">
        <v>1</v>
      </c>
      <c r="D33" s="3" t="s">
        <v>6</v>
      </c>
      <c r="E33" s="4" t="s">
        <v>87</v>
      </c>
      <c r="F33" s="3" t="s">
        <v>88</v>
      </c>
      <c r="G33" s="4">
        <v>223</v>
      </c>
      <c r="H33" s="25">
        <v>20</v>
      </c>
    </row>
    <row r="34" spans="1:8" ht="12.75" hidden="1">
      <c r="A34" s="15" t="s">
        <v>17</v>
      </c>
      <c r="B34" s="17" t="s">
        <v>101</v>
      </c>
      <c r="C34" s="4" t="s">
        <v>1</v>
      </c>
      <c r="D34" s="3" t="s">
        <v>6</v>
      </c>
      <c r="E34" s="4" t="s">
        <v>87</v>
      </c>
      <c r="F34" s="3" t="s">
        <v>88</v>
      </c>
      <c r="G34" s="4">
        <v>225</v>
      </c>
      <c r="H34" s="25"/>
    </row>
    <row r="35" spans="1:8" ht="12.75">
      <c r="A35" s="15" t="s">
        <v>18</v>
      </c>
      <c r="B35" s="17" t="s">
        <v>101</v>
      </c>
      <c r="C35" s="4" t="s">
        <v>1</v>
      </c>
      <c r="D35" s="3" t="s">
        <v>6</v>
      </c>
      <c r="E35" s="4" t="s">
        <v>87</v>
      </c>
      <c r="F35" s="3" t="s">
        <v>88</v>
      </c>
      <c r="G35" s="4">
        <v>226</v>
      </c>
      <c r="H35" s="25">
        <v>70</v>
      </c>
    </row>
    <row r="36" spans="1:8" ht="12.75">
      <c r="A36" s="15" t="s">
        <v>19</v>
      </c>
      <c r="B36" s="17" t="s">
        <v>101</v>
      </c>
      <c r="C36" s="4" t="s">
        <v>1</v>
      </c>
      <c r="D36" s="3" t="s">
        <v>6</v>
      </c>
      <c r="E36" s="4" t="s">
        <v>87</v>
      </c>
      <c r="F36" s="3" t="s">
        <v>88</v>
      </c>
      <c r="G36" s="4">
        <v>290</v>
      </c>
      <c r="H36" s="25">
        <v>10</v>
      </c>
    </row>
    <row r="37" spans="1:8" ht="12.75">
      <c r="A37" s="15" t="s">
        <v>20</v>
      </c>
      <c r="B37" s="17" t="s">
        <v>101</v>
      </c>
      <c r="C37" s="4" t="s">
        <v>1</v>
      </c>
      <c r="D37" s="3" t="s">
        <v>6</v>
      </c>
      <c r="E37" s="4" t="s">
        <v>87</v>
      </c>
      <c r="F37" s="3" t="s">
        <v>88</v>
      </c>
      <c r="G37" s="4">
        <v>300</v>
      </c>
      <c r="H37" s="25">
        <f>H38+H39</f>
        <v>67.1</v>
      </c>
    </row>
    <row r="38" spans="1:8" ht="12.75">
      <c r="A38" s="15" t="s">
        <v>21</v>
      </c>
      <c r="B38" s="17" t="s">
        <v>101</v>
      </c>
      <c r="C38" s="4" t="s">
        <v>1</v>
      </c>
      <c r="D38" s="3" t="s">
        <v>6</v>
      </c>
      <c r="E38" s="4" t="s">
        <v>87</v>
      </c>
      <c r="F38" s="3" t="s">
        <v>88</v>
      </c>
      <c r="G38" s="4">
        <v>310</v>
      </c>
      <c r="H38" s="25">
        <v>20</v>
      </c>
    </row>
    <row r="39" spans="1:8" ht="12.75">
      <c r="A39" s="15" t="s">
        <v>22</v>
      </c>
      <c r="B39" s="17" t="s">
        <v>101</v>
      </c>
      <c r="C39" s="4" t="s">
        <v>1</v>
      </c>
      <c r="D39" s="3" t="s">
        <v>6</v>
      </c>
      <c r="E39" s="4" t="s">
        <v>87</v>
      </c>
      <c r="F39" s="3" t="s">
        <v>88</v>
      </c>
      <c r="G39" s="4">
        <v>340</v>
      </c>
      <c r="H39" s="25">
        <v>47.1</v>
      </c>
    </row>
    <row r="40" spans="1:8" ht="6.75" customHeight="1">
      <c r="A40" s="15"/>
      <c r="B40" s="17" t="s">
        <v>101</v>
      </c>
      <c r="C40" s="4"/>
      <c r="D40" s="3"/>
      <c r="E40" s="4"/>
      <c r="F40" s="3"/>
      <c r="G40" s="4"/>
      <c r="H40" s="2"/>
    </row>
    <row r="41" spans="1:8" ht="13.5" customHeight="1">
      <c r="A41" s="15" t="s">
        <v>68</v>
      </c>
      <c r="B41" s="17" t="s">
        <v>101</v>
      </c>
      <c r="C41" s="3" t="s">
        <v>39</v>
      </c>
      <c r="D41" s="3" t="s">
        <v>2</v>
      </c>
      <c r="E41" s="4" t="s">
        <v>3</v>
      </c>
      <c r="F41" s="3" t="s">
        <v>4</v>
      </c>
      <c r="G41" s="4" t="s">
        <v>4</v>
      </c>
      <c r="H41" s="25">
        <f>H42</f>
        <v>23</v>
      </c>
    </row>
    <row r="42" spans="1:8" ht="12.75">
      <c r="A42" s="15" t="s">
        <v>67</v>
      </c>
      <c r="B42" s="17" t="s">
        <v>101</v>
      </c>
      <c r="C42" s="3" t="s">
        <v>39</v>
      </c>
      <c r="D42" s="3" t="s">
        <v>43</v>
      </c>
      <c r="E42" s="4" t="s">
        <v>3</v>
      </c>
      <c r="F42" s="3" t="s">
        <v>4</v>
      </c>
      <c r="G42" s="4" t="s">
        <v>4</v>
      </c>
      <c r="H42" s="25">
        <f>H43</f>
        <v>23</v>
      </c>
    </row>
    <row r="43" spans="1:8" ht="25.5">
      <c r="A43" s="15" t="s">
        <v>7</v>
      </c>
      <c r="B43" s="17" t="s">
        <v>101</v>
      </c>
      <c r="C43" s="3" t="s">
        <v>39</v>
      </c>
      <c r="D43" s="3" t="s">
        <v>43</v>
      </c>
      <c r="E43" s="4" t="s">
        <v>8</v>
      </c>
      <c r="F43" s="3" t="s">
        <v>4</v>
      </c>
      <c r="G43" s="4" t="s">
        <v>4</v>
      </c>
      <c r="H43" s="25">
        <f>H44</f>
        <v>23</v>
      </c>
    </row>
    <row r="44" spans="1:8" ht="25.5">
      <c r="A44" s="15" t="s">
        <v>90</v>
      </c>
      <c r="B44" s="17" t="s">
        <v>101</v>
      </c>
      <c r="C44" s="3" t="s">
        <v>39</v>
      </c>
      <c r="D44" s="3" t="s">
        <v>43</v>
      </c>
      <c r="E44" s="4" t="s">
        <v>91</v>
      </c>
      <c r="F44" s="3" t="s">
        <v>4</v>
      </c>
      <c r="G44" s="4" t="s">
        <v>4</v>
      </c>
      <c r="H44" s="25">
        <f>H45</f>
        <v>23</v>
      </c>
    </row>
    <row r="45" spans="1:8" ht="12.75">
      <c r="A45" s="15" t="s">
        <v>86</v>
      </c>
      <c r="B45" s="17" t="s">
        <v>101</v>
      </c>
      <c r="C45" s="3" t="s">
        <v>39</v>
      </c>
      <c r="D45" s="3" t="s">
        <v>43</v>
      </c>
      <c r="E45" s="4" t="s">
        <v>91</v>
      </c>
      <c r="F45" s="3">
        <v>500</v>
      </c>
      <c r="G45" s="4" t="s">
        <v>4</v>
      </c>
      <c r="H45" s="25">
        <f>H46</f>
        <v>23</v>
      </c>
    </row>
    <row r="46" spans="1:8" ht="12.75">
      <c r="A46" s="15" t="s">
        <v>9</v>
      </c>
      <c r="B46" s="17" t="s">
        <v>101</v>
      </c>
      <c r="C46" s="3" t="s">
        <v>39</v>
      </c>
      <c r="D46" s="3" t="s">
        <v>43</v>
      </c>
      <c r="E46" s="4" t="s">
        <v>91</v>
      </c>
      <c r="F46" s="3">
        <v>500</v>
      </c>
      <c r="G46" s="4">
        <v>210</v>
      </c>
      <c r="H46" s="25">
        <f>H47+H48</f>
        <v>23</v>
      </c>
    </row>
    <row r="47" spans="1:11" ht="12.75">
      <c r="A47" s="15" t="s">
        <v>10</v>
      </c>
      <c r="B47" s="17" t="s">
        <v>101</v>
      </c>
      <c r="C47" s="3" t="s">
        <v>39</v>
      </c>
      <c r="D47" s="3" t="s">
        <v>43</v>
      </c>
      <c r="E47" s="4" t="s">
        <v>91</v>
      </c>
      <c r="F47" s="3">
        <v>500</v>
      </c>
      <c r="G47" s="4">
        <v>211</v>
      </c>
      <c r="H47" s="25">
        <v>18.2</v>
      </c>
      <c r="J47" s="5"/>
      <c r="K47" s="5"/>
    </row>
    <row r="48" spans="1:10" ht="12.75">
      <c r="A48" s="15" t="s">
        <v>12</v>
      </c>
      <c r="B48" s="17" t="s">
        <v>101</v>
      </c>
      <c r="C48" s="3" t="s">
        <v>39</v>
      </c>
      <c r="D48" s="3" t="s">
        <v>43</v>
      </c>
      <c r="E48" s="4" t="s">
        <v>91</v>
      </c>
      <c r="F48" s="3">
        <v>500</v>
      </c>
      <c r="G48" s="4">
        <v>213</v>
      </c>
      <c r="H48" s="25">
        <v>4.8</v>
      </c>
      <c r="J48" s="5"/>
    </row>
    <row r="49" spans="1:8" ht="9" customHeight="1">
      <c r="A49" s="15"/>
      <c r="B49" s="17" t="s">
        <v>101</v>
      </c>
      <c r="C49" s="4"/>
      <c r="D49" s="3"/>
      <c r="E49" s="4"/>
      <c r="F49" s="3"/>
      <c r="G49" s="4"/>
      <c r="H49" s="2"/>
    </row>
    <row r="50" spans="1:8" ht="12.75">
      <c r="A50" s="29" t="s">
        <v>104</v>
      </c>
      <c r="B50" s="17" t="s">
        <v>101</v>
      </c>
      <c r="C50" s="16"/>
      <c r="D50" s="2"/>
      <c r="E50" s="16"/>
      <c r="F50" s="2"/>
      <c r="G50" s="16"/>
      <c r="H50" s="2">
        <f>H51</f>
        <v>831.1</v>
      </c>
    </row>
    <row r="51" spans="1:8" ht="25.5">
      <c r="A51" s="15" t="s">
        <v>24</v>
      </c>
      <c r="B51" s="17" t="s">
        <v>101</v>
      </c>
      <c r="C51" s="5" t="s">
        <v>25</v>
      </c>
      <c r="D51" s="6" t="s">
        <v>2</v>
      </c>
      <c r="E51" s="4" t="s">
        <v>3</v>
      </c>
      <c r="F51" s="6" t="s">
        <v>4</v>
      </c>
      <c r="G51" s="5" t="s">
        <v>4</v>
      </c>
      <c r="H51" s="2">
        <f>H52</f>
        <v>831.1</v>
      </c>
    </row>
    <row r="52" spans="1:8" ht="12.75">
      <c r="A52" s="15" t="s">
        <v>26</v>
      </c>
      <c r="B52" s="17" t="s">
        <v>101</v>
      </c>
      <c r="C52" s="5" t="s">
        <v>25</v>
      </c>
      <c r="D52" s="6" t="s">
        <v>1</v>
      </c>
      <c r="E52" s="4" t="s">
        <v>3</v>
      </c>
      <c r="F52" s="6" t="s">
        <v>4</v>
      </c>
      <c r="G52" s="5" t="s">
        <v>4</v>
      </c>
      <c r="H52" s="2">
        <f>H53</f>
        <v>831.1</v>
      </c>
    </row>
    <row r="53" spans="1:8" ht="25.5">
      <c r="A53" s="15" t="s">
        <v>92</v>
      </c>
      <c r="B53" s="17" t="s">
        <v>101</v>
      </c>
      <c r="C53" s="5" t="s">
        <v>25</v>
      </c>
      <c r="D53" s="6" t="s">
        <v>1</v>
      </c>
      <c r="E53" s="4" t="s">
        <v>27</v>
      </c>
      <c r="F53" s="6" t="s">
        <v>4</v>
      </c>
      <c r="G53" s="5" t="s">
        <v>4</v>
      </c>
      <c r="H53" s="2">
        <f>H55</f>
        <v>831.1</v>
      </c>
    </row>
    <row r="54" spans="1:8" ht="12.75">
      <c r="A54" s="15" t="s">
        <v>23</v>
      </c>
      <c r="B54" s="17" t="s">
        <v>101</v>
      </c>
      <c r="C54" s="5" t="s">
        <v>25</v>
      </c>
      <c r="D54" s="6" t="s">
        <v>1</v>
      </c>
      <c r="E54" s="4" t="s">
        <v>93</v>
      </c>
      <c r="F54" s="6" t="s">
        <v>4</v>
      </c>
      <c r="G54" s="5" t="s">
        <v>4</v>
      </c>
      <c r="H54" s="21">
        <f>H55</f>
        <v>831.1</v>
      </c>
    </row>
    <row r="55" spans="1:8" ht="12.75">
      <c r="A55" s="15" t="s">
        <v>94</v>
      </c>
      <c r="B55" s="17" t="s">
        <v>101</v>
      </c>
      <c r="C55" s="5" t="s">
        <v>25</v>
      </c>
      <c r="D55" s="6" t="s">
        <v>1</v>
      </c>
      <c r="E55" s="4" t="s">
        <v>93</v>
      </c>
      <c r="F55" s="6" t="s">
        <v>95</v>
      </c>
      <c r="G55" s="5" t="s">
        <v>4</v>
      </c>
      <c r="H55" s="2">
        <f>H56+H60+H67+H66</f>
        <v>831.1</v>
      </c>
    </row>
    <row r="56" spans="1:8" ht="12.75">
      <c r="A56" s="15" t="s">
        <v>9</v>
      </c>
      <c r="B56" s="17" t="s">
        <v>101</v>
      </c>
      <c r="C56" s="5" t="s">
        <v>25</v>
      </c>
      <c r="D56" s="6" t="s">
        <v>1</v>
      </c>
      <c r="E56" s="4" t="s">
        <v>93</v>
      </c>
      <c r="F56" s="6" t="s">
        <v>95</v>
      </c>
      <c r="G56" s="4">
        <v>210</v>
      </c>
      <c r="H56" s="2">
        <f>H57+H58+H59</f>
        <v>741.1</v>
      </c>
    </row>
    <row r="57" spans="1:8" ht="12.75">
      <c r="A57" s="15" t="s">
        <v>10</v>
      </c>
      <c r="B57" s="17" t="s">
        <v>101</v>
      </c>
      <c r="C57" s="5" t="s">
        <v>25</v>
      </c>
      <c r="D57" s="6" t="s">
        <v>1</v>
      </c>
      <c r="E57" s="4" t="s">
        <v>93</v>
      </c>
      <c r="F57" s="6" t="s">
        <v>95</v>
      </c>
      <c r="G57" s="4">
        <v>211</v>
      </c>
      <c r="H57" s="2">
        <v>580.5</v>
      </c>
    </row>
    <row r="58" spans="1:8" ht="12.75">
      <c r="A58" s="15" t="s">
        <v>11</v>
      </c>
      <c r="B58" s="17" t="s">
        <v>101</v>
      </c>
      <c r="C58" s="5" t="s">
        <v>25</v>
      </c>
      <c r="D58" s="6" t="s">
        <v>1</v>
      </c>
      <c r="E58" s="4" t="s">
        <v>93</v>
      </c>
      <c r="F58" s="6" t="s">
        <v>95</v>
      </c>
      <c r="G58" s="4">
        <v>212</v>
      </c>
      <c r="H58" s="2">
        <v>8.5</v>
      </c>
    </row>
    <row r="59" spans="1:8" ht="12.75">
      <c r="A59" s="15" t="s">
        <v>12</v>
      </c>
      <c r="B59" s="17" t="s">
        <v>101</v>
      </c>
      <c r="C59" s="5" t="s">
        <v>25</v>
      </c>
      <c r="D59" s="6" t="s">
        <v>1</v>
      </c>
      <c r="E59" s="4" t="s">
        <v>93</v>
      </c>
      <c r="F59" s="6" t="s">
        <v>95</v>
      </c>
      <c r="G59" s="4">
        <v>213</v>
      </c>
      <c r="H59" s="2">
        <v>152.1</v>
      </c>
    </row>
    <row r="60" spans="1:8" ht="12.75">
      <c r="A60" s="15" t="s">
        <v>13</v>
      </c>
      <c r="B60" s="17" t="s">
        <v>101</v>
      </c>
      <c r="C60" s="5" t="s">
        <v>25</v>
      </c>
      <c r="D60" s="6" t="s">
        <v>1</v>
      </c>
      <c r="E60" s="4" t="s">
        <v>93</v>
      </c>
      <c r="F60" s="6" t="s">
        <v>95</v>
      </c>
      <c r="G60" s="4">
        <v>220</v>
      </c>
      <c r="H60" s="2">
        <f>H61+H62+H63+H64+H65</f>
        <v>50</v>
      </c>
    </row>
    <row r="61" spans="1:8" ht="12.75" hidden="1">
      <c r="A61" s="15" t="s">
        <v>14</v>
      </c>
      <c r="B61" s="17" t="s">
        <v>101</v>
      </c>
      <c r="C61" s="5" t="s">
        <v>25</v>
      </c>
      <c r="D61" s="6" t="s">
        <v>1</v>
      </c>
      <c r="E61" s="4" t="s">
        <v>93</v>
      </c>
      <c r="F61" s="6" t="s">
        <v>95</v>
      </c>
      <c r="G61" s="4">
        <v>221</v>
      </c>
      <c r="H61" s="2"/>
    </row>
    <row r="62" spans="1:8" ht="12.75" hidden="1">
      <c r="A62" s="15" t="s">
        <v>15</v>
      </c>
      <c r="B62" s="17" t="s">
        <v>101</v>
      </c>
      <c r="C62" s="5" t="s">
        <v>25</v>
      </c>
      <c r="D62" s="6" t="s">
        <v>1</v>
      </c>
      <c r="E62" s="4" t="s">
        <v>93</v>
      </c>
      <c r="F62" s="6" t="s">
        <v>95</v>
      </c>
      <c r="G62" s="4">
        <v>222</v>
      </c>
      <c r="H62" s="2"/>
    </row>
    <row r="63" spans="1:8" ht="12.75">
      <c r="A63" s="15" t="s">
        <v>16</v>
      </c>
      <c r="B63" s="17" t="s">
        <v>101</v>
      </c>
      <c r="C63" s="5" t="s">
        <v>25</v>
      </c>
      <c r="D63" s="6" t="s">
        <v>1</v>
      </c>
      <c r="E63" s="4" t="s">
        <v>93</v>
      </c>
      <c r="F63" s="6" t="s">
        <v>95</v>
      </c>
      <c r="G63" s="4">
        <v>223</v>
      </c>
      <c r="H63" s="2">
        <v>50</v>
      </c>
    </row>
    <row r="64" spans="1:8" ht="12.75" hidden="1">
      <c r="A64" s="15" t="s">
        <v>17</v>
      </c>
      <c r="B64" s="17" t="s">
        <v>101</v>
      </c>
      <c r="C64" s="5" t="s">
        <v>25</v>
      </c>
      <c r="D64" s="6" t="s">
        <v>1</v>
      </c>
      <c r="E64" s="4" t="s">
        <v>93</v>
      </c>
      <c r="F64" s="6" t="s">
        <v>95</v>
      </c>
      <c r="G64" s="4">
        <v>225</v>
      </c>
      <c r="H64" s="2"/>
    </row>
    <row r="65" spans="1:8" ht="12.75" hidden="1">
      <c r="A65" s="15" t="s">
        <v>18</v>
      </c>
      <c r="B65" s="17" t="s">
        <v>101</v>
      </c>
      <c r="C65" s="5" t="s">
        <v>25</v>
      </c>
      <c r="D65" s="6" t="s">
        <v>1</v>
      </c>
      <c r="E65" s="4" t="s">
        <v>93</v>
      </c>
      <c r="F65" s="6" t="s">
        <v>95</v>
      </c>
      <c r="G65" s="4">
        <v>226</v>
      </c>
      <c r="H65" s="2"/>
    </row>
    <row r="66" spans="1:8" ht="12.75">
      <c r="A66" s="15" t="s">
        <v>19</v>
      </c>
      <c r="B66" s="17" t="s">
        <v>101</v>
      </c>
      <c r="C66" s="5" t="s">
        <v>25</v>
      </c>
      <c r="D66" s="6" t="s">
        <v>1</v>
      </c>
      <c r="E66" s="4" t="s">
        <v>93</v>
      </c>
      <c r="F66" s="6" t="s">
        <v>95</v>
      </c>
      <c r="G66" s="4">
        <v>290</v>
      </c>
      <c r="H66" s="2">
        <v>10</v>
      </c>
    </row>
    <row r="67" spans="1:8" ht="12.75">
      <c r="A67" s="15" t="s">
        <v>20</v>
      </c>
      <c r="B67" s="17" t="s">
        <v>101</v>
      </c>
      <c r="C67" s="5" t="s">
        <v>25</v>
      </c>
      <c r="D67" s="6" t="s">
        <v>1</v>
      </c>
      <c r="E67" s="4" t="s">
        <v>93</v>
      </c>
      <c r="F67" s="6" t="s">
        <v>95</v>
      </c>
      <c r="G67" s="4">
        <v>300</v>
      </c>
      <c r="H67" s="2">
        <f>H68+H69</f>
        <v>30</v>
      </c>
    </row>
    <row r="68" spans="1:8" ht="12.75">
      <c r="A68" s="15" t="s">
        <v>21</v>
      </c>
      <c r="B68" s="17" t="s">
        <v>101</v>
      </c>
      <c r="C68" s="5" t="s">
        <v>25</v>
      </c>
      <c r="D68" s="6" t="s">
        <v>1</v>
      </c>
      <c r="E68" s="4" t="s">
        <v>93</v>
      </c>
      <c r="F68" s="6" t="s">
        <v>95</v>
      </c>
      <c r="G68" s="4">
        <v>310</v>
      </c>
      <c r="H68" s="2">
        <v>10</v>
      </c>
    </row>
    <row r="69" spans="1:8" ht="12.75">
      <c r="A69" s="15" t="s">
        <v>22</v>
      </c>
      <c r="B69" s="17" t="s">
        <v>101</v>
      </c>
      <c r="C69" s="5" t="s">
        <v>25</v>
      </c>
      <c r="D69" s="6" t="s">
        <v>1</v>
      </c>
      <c r="E69" s="4" t="s">
        <v>93</v>
      </c>
      <c r="F69" s="6" t="s">
        <v>95</v>
      </c>
      <c r="G69" s="4">
        <v>340</v>
      </c>
      <c r="H69" s="2">
        <v>20</v>
      </c>
    </row>
    <row r="70" spans="1:8" ht="6" customHeight="1">
      <c r="A70" s="15"/>
      <c r="B70" s="17" t="s">
        <v>101</v>
      </c>
      <c r="C70" s="5"/>
      <c r="D70" s="6"/>
      <c r="E70" s="4"/>
      <c r="F70" s="6"/>
      <c r="G70" s="4"/>
      <c r="H70" s="2"/>
    </row>
    <row r="71" spans="1:8" ht="12.75">
      <c r="A71" s="24"/>
      <c r="B71" s="22" t="s">
        <v>30</v>
      </c>
      <c r="C71" s="22"/>
      <c r="D71" s="22"/>
      <c r="E71" s="22"/>
      <c r="F71" s="22"/>
      <c r="G71" s="22"/>
      <c r="H71" s="22"/>
    </row>
    <row r="72" spans="1:8" ht="51">
      <c r="A72" s="23" t="s">
        <v>31</v>
      </c>
      <c r="B72" s="23" t="s">
        <v>32</v>
      </c>
      <c r="C72" s="12" t="s">
        <v>33</v>
      </c>
      <c r="D72" s="12" t="s">
        <v>34</v>
      </c>
      <c r="E72" s="12" t="s">
        <v>35</v>
      </c>
      <c r="F72" s="12" t="s">
        <v>36</v>
      </c>
      <c r="G72" s="12" t="s">
        <v>37</v>
      </c>
      <c r="H72" s="12" t="s">
        <v>38</v>
      </c>
    </row>
    <row r="73" spans="1:8" ht="24" customHeight="1">
      <c r="A73" s="29" t="s">
        <v>105</v>
      </c>
      <c r="B73" s="3" t="s">
        <v>63</v>
      </c>
      <c r="C73" s="16"/>
      <c r="D73" s="2"/>
      <c r="E73" s="16"/>
      <c r="F73" s="2"/>
      <c r="G73" s="16"/>
      <c r="H73" s="2">
        <f>H74</f>
        <v>366.8</v>
      </c>
    </row>
    <row r="74" spans="1:8" ht="25.5">
      <c r="A74" s="15" t="s">
        <v>24</v>
      </c>
      <c r="B74" s="3" t="s">
        <v>63</v>
      </c>
      <c r="C74" s="5" t="s">
        <v>25</v>
      </c>
      <c r="D74" s="6" t="s">
        <v>2</v>
      </c>
      <c r="E74" s="4" t="s">
        <v>3</v>
      </c>
      <c r="F74" s="6" t="s">
        <v>4</v>
      </c>
      <c r="G74" s="5" t="s">
        <v>4</v>
      </c>
      <c r="H74" s="2">
        <f>H75</f>
        <v>366.8</v>
      </c>
    </row>
    <row r="75" spans="1:8" ht="12.75">
      <c r="A75" s="15" t="s">
        <v>26</v>
      </c>
      <c r="B75" s="3" t="s">
        <v>63</v>
      </c>
      <c r="C75" s="5" t="s">
        <v>25</v>
      </c>
      <c r="D75" s="6" t="s">
        <v>1</v>
      </c>
      <c r="E75" s="4" t="s">
        <v>3</v>
      </c>
      <c r="F75" s="6" t="s">
        <v>4</v>
      </c>
      <c r="G75" s="5" t="s">
        <v>4</v>
      </c>
      <c r="H75" s="2">
        <f>H76</f>
        <v>366.8</v>
      </c>
    </row>
    <row r="76" spans="1:8" ht="12.75">
      <c r="A76" s="15" t="s">
        <v>28</v>
      </c>
      <c r="B76" s="3" t="s">
        <v>63</v>
      </c>
      <c r="C76" s="5" t="s">
        <v>25</v>
      </c>
      <c r="D76" s="6" t="s">
        <v>1</v>
      </c>
      <c r="E76" s="4" t="s">
        <v>29</v>
      </c>
      <c r="F76" s="6" t="s">
        <v>4</v>
      </c>
      <c r="G76" s="5" t="s">
        <v>4</v>
      </c>
      <c r="H76" s="2">
        <f>H77</f>
        <v>366.8</v>
      </c>
    </row>
    <row r="77" spans="1:8" ht="12.75">
      <c r="A77" s="15" t="s">
        <v>23</v>
      </c>
      <c r="B77" s="3" t="s">
        <v>63</v>
      </c>
      <c r="C77" s="5" t="s">
        <v>25</v>
      </c>
      <c r="D77" s="6" t="s">
        <v>1</v>
      </c>
      <c r="E77" s="4" t="s">
        <v>96</v>
      </c>
      <c r="F77" s="6" t="s">
        <v>4</v>
      </c>
      <c r="G77" s="5" t="s">
        <v>4</v>
      </c>
      <c r="H77" s="2">
        <f>H78</f>
        <v>366.8</v>
      </c>
    </row>
    <row r="78" spans="1:8" ht="12.75">
      <c r="A78" s="15" t="s">
        <v>94</v>
      </c>
      <c r="B78" s="3" t="s">
        <v>63</v>
      </c>
      <c r="C78" s="5" t="s">
        <v>25</v>
      </c>
      <c r="D78" s="6" t="s">
        <v>1</v>
      </c>
      <c r="E78" s="4" t="s">
        <v>96</v>
      </c>
      <c r="F78" s="6" t="s">
        <v>95</v>
      </c>
      <c r="G78" s="5" t="s">
        <v>4</v>
      </c>
      <c r="H78" s="2">
        <f>H79+H83+H87</f>
        <v>366.8</v>
      </c>
    </row>
    <row r="79" spans="1:8" ht="12.75">
      <c r="A79" s="15" t="s">
        <v>9</v>
      </c>
      <c r="B79" s="3" t="s">
        <v>63</v>
      </c>
      <c r="C79" s="5" t="s">
        <v>25</v>
      </c>
      <c r="D79" s="6" t="s">
        <v>1</v>
      </c>
      <c r="E79" s="4" t="s">
        <v>96</v>
      </c>
      <c r="F79" s="6" t="s">
        <v>95</v>
      </c>
      <c r="G79" s="4">
        <v>210</v>
      </c>
      <c r="H79" s="2">
        <f>H80+H81+H82</f>
        <v>344.8</v>
      </c>
    </row>
    <row r="80" spans="1:8" ht="12.75">
      <c r="A80" s="15" t="s">
        <v>10</v>
      </c>
      <c r="B80" s="3" t="s">
        <v>63</v>
      </c>
      <c r="C80" s="5" t="s">
        <v>25</v>
      </c>
      <c r="D80" s="6" t="s">
        <v>1</v>
      </c>
      <c r="E80" s="4" t="s">
        <v>96</v>
      </c>
      <c r="F80" s="6" t="s">
        <v>95</v>
      </c>
      <c r="G80" s="4">
        <v>211</v>
      </c>
      <c r="H80" s="2">
        <v>267.8</v>
      </c>
    </row>
    <row r="81" spans="1:8" ht="12.75">
      <c r="A81" s="15" t="s">
        <v>11</v>
      </c>
      <c r="B81" s="3" t="s">
        <v>63</v>
      </c>
      <c r="C81" s="5" t="s">
        <v>25</v>
      </c>
      <c r="D81" s="6" t="s">
        <v>1</v>
      </c>
      <c r="E81" s="4" t="s">
        <v>96</v>
      </c>
      <c r="F81" s="6" t="s">
        <v>95</v>
      </c>
      <c r="G81" s="4">
        <v>212</v>
      </c>
      <c r="H81" s="2">
        <v>6.8</v>
      </c>
    </row>
    <row r="82" spans="1:8" ht="12.75">
      <c r="A82" s="15" t="s">
        <v>12</v>
      </c>
      <c r="B82" s="3" t="s">
        <v>63</v>
      </c>
      <c r="C82" s="5" t="s">
        <v>25</v>
      </c>
      <c r="D82" s="6" t="s">
        <v>1</v>
      </c>
      <c r="E82" s="4" t="s">
        <v>96</v>
      </c>
      <c r="F82" s="6" t="s">
        <v>95</v>
      </c>
      <c r="G82" s="4">
        <v>213</v>
      </c>
      <c r="H82" s="2">
        <v>70.2</v>
      </c>
    </row>
    <row r="83" spans="1:8" ht="12.75">
      <c r="A83" s="15" t="s">
        <v>13</v>
      </c>
      <c r="B83" s="3" t="s">
        <v>63</v>
      </c>
      <c r="C83" s="5" t="s">
        <v>25</v>
      </c>
      <c r="D83" s="6" t="s">
        <v>1</v>
      </c>
      <c r="E83" s="4" t="s">
        <v>96</v>
      </c>
      <c r="F83" s="6" t="s">
        <v>95</v>
      </c>
      <c r="G83" s="4">
        <v>220</v>
      </c>
      <c r="H83" s="2">
        <f>H86+H84+H85</f>
        <v>6</v>
      </c>
    </row>
    <row r="84" spans="1:8" ht="12.75" hidden="1">
      <c r="A84" s="15" t="s">
        <v>14</v>
      </c>
      <c r="B84" s="3" t="s">
        <v>63</v>
      </c>
      <c r="C84" s="5" t="s">
        <v>25</v>
      </c>
      <c r="D84" s="6" t="s">
        <v>1</v>
      </c>
      <c r="E84" s="4" t="s">
        <v>96</v>
      </c>
      <c r="F84" s="6" t="s">
        <v>95</v>
      </c>
      <c r="G84" s="4">
        <v>221</v>
      </c>
      <c r="H84" s="2"/>
    </row>
    <row r="85" spans="1:8" ht="12.75">
      <c r="A85" s="15" t="s">
        <v>16</v>
      </c>
      <c r="B85" s="3" t="s">
        <v>63</v>
      </c>
      <c r="C85" s="5" t="s">
        <v>25</v>
      </c>
      <c r="D85" s="6" t="s">
        <v>1</v>
      </c>
      <c r="E85" s="4" t="s">
        <v>96</v>
      </c>
      <c r="F85" s="6" t="s">
        <v>95</v>
      </c>
      <c r="G85" s="4">
        <v>223</v>
      </c>
      <c r="H85" s="2">
        <v>6</v>
      </c>
    </row>
    <row r="86" spans="1:8" ht="12.75" hidden="1">
      <c r="A86" s="15" t="s">
        <v>18</v>
      </c>
      <c r="B86" s="3" t="s">
        <v>63</v>
      </c>
      <c r="C86" s="5" t="s">
        <v>25</v>
      </c>
      <c r="D86" s="6" t="s">
        <v>1</v>
      </c>
      <c r="E86" s="4" t="s">
        <v>96</v>
      </c>
      <c r="F86" s="6" t="s">
        <v>95</v>
      </c>
      <c r="G86" s="4">
        <v>226</v>
      </c>
      <c r="H86" s="2"/>
    </row>
    <row r="87" spans="1:8" ht="12.75">
      <c r="A87" s="15" t="s">
        <v>20</v>
      </c>
      <c r="B87" s="3" t="s">
        <v>63</v>
      </c>
      <c r="C87" s="5" t="s">
        <v>25</v>
      </c>
      <c r="D87" s="6" t="s">
        <v>1</v>
      </c>
      <c r="E87" s="4" t="s">
        <v>96</v>
      </c>
      <c r="F87" s="6" t="s">
        <v>95</v>
      </c>
      <c r="G87" s="4">
        <v>300</v>
      </c>
      <c r="H87" s="2">
        <f>H88</f>
        <v>16</v>
      </c>
    </row>
    <row r="88" spans="1:8" ht="12.75">
      <c r="A88" s="15" t="s">
        <v>22</v>
      </c>
      <c r="B88" s="3" t="s">
        <v>63</v>
      </c>
      <c r="C88" s="5" t="s">
        <v>25</v>
      </c>
      <c r="D88" s="6" t="s">
        <v>1</v>
      </c>
      <c r="E88" s="4" t="s">
        <v>96</v>
      </c>
      <c r="F88" s="6" t="s">
        <v>95</v>
      </c>
      <c r="G88" s="4">
        <v>340</v>
      </c>
      <c r="H88" s="18">
        <v>16</v>
      </c>
    </row>
    <row r="89" spans="1:8" ht="12.75">
      <c r="A89" s="38"/>
      <c r="B89" s="11"/>
      <c r="C89" s="39"/>
      <c r="D89" s="19"/>
      <c r="E89" s="39"/>
      <c r="F89" s="19"/>
      <c r="G89" s="39"/>
      <c r="H89" s="19"/>
    </row>
    <row r="90" spans="1:8" ht="12.75" hidden="1">
      <c r="A90" s="21" t="s">
        <v>69</v>
      </c>
      <c r="B90" s="3" t="s">
        <v>63</v>
      </c>
      <c r="C90" s="5" t="s">
        <v>6</v>
      </c>
      <c r="D90" s="3" t="s">
        <v>2</v>
      </c>
      <c r="E90" s="4" t="s">
        <v>3</v>
      </c>
      <c r="F90" s="6" t="s">
        <v>4</v>
      </c>
      <c r="G90" s="5" t="s">
        <v>4</v>
      </c>
      <c r="H90" s="2">
        <f>H91</f>
        <v>0</v>
      </c>
    </row>
    <row r="91" spans="1:8" ht="12.75" hidden="1">
      <c r="A91" s="21" t="s">
        <v>70</v>
      </c>
      <c r="B91" s="3" t="s">
        <v>63</v>
      </c>
      <c r="C91" s="5" t="s">
        <v>6</v>
      </c>
      <c r="D91" s="3" t="s">
        <v>73</v>
      </c>
      <c r="E91" s="4" t="s">
        <v>3</v>
      </c>
      <c r="F91" s="6" t="s">
        <v>4</v>
      </c>
      <c r="G91" s="5" t="s">
        <v>4</v>
      </c>
      <c r="H91" s="2">
        <f>H92</f>
        <v>0</v>
      </c>
    </row>
    <row r="92" spans="1:8" ht="12.75" hidden="1">
      <c r="A92" s="21" t="s">
        <v>71</v>
      </c>
      <c r="B92" s="3" t="s">
        <v>63</v>
      </c>
      <c r="C92" s="5" t="s">
        <v>6</v>
      </c>
      <c r="D92" s="3" t="s">
        <v>73</v>
      </c>
      <c r="E92" s="5" t="s">
        <v>74</v>
      </c>
      <c r="F92" s="6" t="s">
        <v>4</v>
      </c>
      <c r="G92" s="5" t="s">
        <v>4</v>
      </c>
      <c r="H92" s="2">
        <f>H93</f>
        <v>0</v>
      </c>
    </row>
    <row r="93" spans="1:8" ht="25.5" hidden="1">
      <c r="A93" s="15" t="s">
        <v>72</v>
      </c>
      <c r="B93" s="3" t="s">
        <v>63</v>
      </c>
      <c r="C93" s="5" t="s">
        <v>6</v>
      </c>
      <c r="D93" s="3" t="s">
        <v>73</v>
      </c>
      <c r="E93" s="5" t="s">
        <v>74</v>
      </c>
      <c r="F93" s="3">
        <v>342</v>
      </c>
      <c r="G93" s="5" t="s">
        <v>4</v>
      </c>
      <c r="H93" s="2">
        <f>H94</f>
        <v>0</v>
      </c>
    </row>
    <row r="94" spans="1:8" ht="12.75" hidden="1">
      <c r="A94" s="21" t="s">
        <v>19</v>
      </c>
      <c r="B94" s="3" t="s">
        <v>63</v>
      </c>
      <c r="C94" s="5" t="s">
        <v>6</v>
      </c>
      <c r="D94" s="3" t="s">
        <v>73</v>
      </c>
      <c r="E94" s="5" t="s">
        <v>74</v>
      </c>
      <c r="F94" s="3">
        <v>342</v>
      </c>
      <c r="G94" s="1">
        <v>290</v>
      </c>
      <c r="H94" s="2"/>
    </row>
    <row r="95" spans="1:8" ht="12.75" hidden="1">
      <c r="A95" s="21"/>
      <c r="B95" s="3"/>
      <c r="D95" s="2"/>
      <c r="F95" s="2"/>
      <c r="H95" s="2"/>
    </row>
    <row r="96" spans="1:8" ht="12.75" hidden="1">
      <c r="A96" s="21" t="s">
        <v>75</v>
      </c>
      <c r="B96" s="3" t="s">
        <v>63</v>
      </c>
      <c r="C96" s="5" t="s">
        <v>73</v>
      </c>
      <c r="D96" s="3" t="s">
        <v>2</v>
      </c>
      <c r="E96" s="4" t="s">
        <v>3</v>
      </c>
      <c r="F96" s="6" t="s">
        <v>4</v>
      </c>
      <c r="G96" s="5" t="s">
        <v>4</v>
      </c>
      <c r="H96" s="2">
        <f>H97</f>
        <v>0</v>
      </c>
    </row>
    <row r="97" spans="1:8" ht="12.75" hidden="1">
      <c r="A97" s="21" t="s">
        <v>79</v>
      </c>
      <c r="B97" s="3" t="s">
        <v>63</v>
      </c>
      <c r="C97" s="5" t="s">
        <v>73</v>
      </c>
      <c r="D97" s="3" t="s">
        <v>1</v>
      </c>
      <c r="E97" s="4" t="s">
        <v>3</v>
      </c>
      <c r="F97" s="6" t="s">
        <v>4</v>
      </c>
      <c r="G97" s="5" t="s">
        <v>4</v>
      </c>
      <c r="H97" s="2">
        <f>H98</f>
        <v>0</v>
      </c>
    </row>
    <row r="98" spans="1:8" ht="12.75" hidden="1">
      <c r="A98" s="21" t="s">
        <v>76</v>
      </c>
      <c r="B98" s="3" t="s">
        <v>63</v>
      </c>
      <c r="C98" s="5" t="s">
        <v>73</v>
      </c>
      <c r="D98" s="3" t="s">
        <v>1</v>
      </c>
      <c r="E98" s="5" t="s">
        <v>78</v>
      </c>
      <c r="F98" s="6" t="s">
        <v>4</v>
      </c>
      <c r="G98" s="5" t="s">
        <v>4</v>
      </c>
      <c r="H98" s="2">
        <f>H99</f>
        <v>0</v>
      </c>
    </row>
    <row r="99" spans="1:8" ht="12.75" hidden="1">
      <c r="A99" s="21" t="s">
        <v>77</v>
      </c>
      <c r="B99" s="3" t="s">
        <v>63</v>
      </c>
      <c r="C99" s="5" t="s">
        <v>73</v>
      </c>
      <c r="D99" s="3" t="s">
        <v>1</v>
      </c>
      <c r="E99" s="5" t="s">
        <v>78</v>
      </c>
      <c r="F99" s="3">
        <v>411</v>
      </c>
      <c r="G99" s="5" t="s">
        <v>4</v>
      </c>
      <c r="H99" s="2">
        <f>H100</f>
        <v>0</v>
      </c>
    </row>
    <row r="100" spans="1:8" ht="12.75" hidden="1">
      <c r="A100" s="15" t="s">
        <v>20</v>
      </c>
      <c r="B100" s="3" t="s">
        <v>63</v>
      </c>
      <c r="C100" s="5" t="s">
        <v>73</v>
      </c>
      <c r="D100" s="3" t="s">
        <v>1</v>
      </c>
      <c r="E100" s="5" t="s">
        <v>78</v>
      </c>
      <c r="F100" s="3">
        <v>411</v>
      </c>
      <c r="G100" s="1">
        <v>300</v>
      </c>
      <c r="H100" s="2">
        <f>H101</f>
        <v>0</v>
      </c>
    </row>
    <row r="101" spans="1:8" ht="12.75" hidden="1">
      <c r="A101" s="15" t="s">
        <v>21</v>
      </c>
      <c r="B101" s="3" t="s">
        <v>63</v>
      </c>
      <c r="C101" s="5" t="s">
        <v>73</v>
      </c>
      <c r="D101" s="3" t="s">
        <v>1</v>
      </c>
      <c r="E101" s="5" t="s">
        <v>78</v>
      </c>
      <c r="F101" s="3">
        <v>411</v>
      </c>
      <c r="G101" s="1">
        <v>310</v>
      </c>
      <c r="H101" s="2"/>
    </row>
    <row r="102" spans="1:8" ht="12.75" hidden="1">
      <c r="A102" s="21"/>
      <c r="B102" s="3"/>
      <c r="D102" s="2"/>
      <c r="F102" s="2"/>
      <c r="H102" s="2"/>
    </row>
    <row r="103" spans="1:8" ht="12.75" hidden="1">
      <c r="A103" s="15" t="s">
        <v>40</v>
      </c>
      <c r="B103" s="3" t="s">
        <v>63</v>
      </c>
      <c r="C103" s="4" t="s">
        <v>41</v>
      </c>
      <c r="D103" s="3" t="s">
        <v>2</v>
      </c>
      <c r="E103" s="4" t="s">
        <v>3</v>
      </c>
      <c r="F103" s="3" t="s">
        <v>4</v>
      </c>
      <c r="G103" s="4" t="s">
        <v>4</v>
      </c>
      <c r="H103" s="2">
        <f>H104</f>
        <v>0</v>
      </c>
    </row>
    <row r="104" spans="1:8" ht="12.75" hidden="1">
      <c r="A104" s="15" t="s">
        <v>42</v>
      </c>
      <c r="B104" s="3" t="s">
        <v>63</v>
      </c>
      <c r="C104" s="4" t="s">
        <v>41</v>
      </c>
      <c r="D104" s="3" t="s">
        <v>43</v>
      </c>
      <c r="E104" s="4" t="s">
        <v>3</v>
      </c>
      <c r="F104" s="3" t="s">
        <v>4</v>
      </c>
      <c r="G104" s="4" t="s">
        <v>4</v>
      </c>
      <c r="H104" s="2">
        <f>H105</f>
        <v>0</v>
      </c>
    </row>
    <row r="105" spans="1:8" ht="12.75" hidden="1">
      <c r="A105" s="15" t="s">
        <v>44</v>
      </c>
      <c r="B105" s="3" t="s">
        <v>63</v>
      </c>
      <c r="C105" s="4" t="s">
        <v>41</v>
      </c>
      <c r="D105" s="3" t="s">
        <v>43</v>
      </c>
      <c r="E105" s="4" t="s">
        <v>45</v>
      </c>
      <c r="F105" s="3" t="s">
        <v>4</v>
      </c>
      <c r="G105" s="4" t="s">
        <v>4</v>
      </c>
      <c r="H105" s="2">
        <f>H106</f>
        <v>0</v>
      </c>
    </row>
    <row r="106" spans="1:8" ht="25.5" hidden="1">
      <c r="A106" s="15" t="s">
        <v>62</v>
      </c>
      <c r="B106" s="3" t="s">
        <v>63</v>
      </c>
      <c r="C106" s="4" t="s">
        <v>41</v>
      </c>
      <c r="D106" s="3" t="s">
        <v>43</v>
      </c>
      <c r="E106" s="4" t="s">
        <v>45</v>
      </c>
      <c r="F106" s="3">
        <v>611</v>
      </c>
      <c r="G106" s="4" t="s">
        <v>4</v>
      </c>
      <c r="H106" s="2">
        <f>H107</f>
        <v>0</v>
      </c>
    </row>
    <row r="107" spans="1:8" ht="12.75" hidden="1">
      <c r="A107" s="20" t="s">
        <v>46</v>
      </c>
      <c r="B107" s="3" t="s">
        <v>63</v>
      </c>
      <c r="C107" s="4" t="s">
        <v>41</v>
      </c>
      <c r="D107" s="3" t="s">
        <v>43</v>
      </c>
      <c r="E107" s="4" t="s">
        <v>45</v>
      </c>
      <c r="F107" s="3">
        <v>611</v>
      </c>
      <c r="G107" s="1">
        <v>260</v>
      </c>
      <c r="H107" s="2">
        <f>H108</f>
        <v>0</v>
      </c>
    </row>
    <row r="108" spans="1:8" ht="12.75" hidden="1">
      <c r="A108" s="20" t="s">
        <v>47</v>
      </c>
      <c r="B108" s="3" t="s">
        <v>63</v>
      </c>
      <c r="C108" s="4" t="s">
        <v>41</v>
      </c>
      <c r="D108" s="3" t="s">
        <v>43</v>
      </c>
      <c r="E108" s="4" t="s">
        <v>45</v>
      </c>
      <c r="F108" s="3">
        <v>611</v>
      </c>
      <c r="G108" s="4">
        <v>262</v>
      </c>
      <c r="H108" s="2"/>
    </row>
    <row r="109" spans="1:8" ht="12.75" hidden="1">
      <c r="A109" s="36"/>
      <c r="B109" s="35"/>
      <c r="C109" s="35"/>
      <c r="D109" s="11"/>
      <c r="E109" s="35"/>
      <c r="F109" s="35"/>
      <c r="G109" s="35"/>
      <c r="H109" s="19"/>
    </row>
    <row r="110" spans="1:8" ht="12.75">
      <c r="A110" s="33"/>
      <c r="B110" s="4"/>
      <c r="C110" s="4"/>
      <c r="D110" s="4"/>
      <c r="E110" s="4"/>
      <c r="F110" s="4"/>
      <c r="G110" s="4"/>
      <c r="H110" s="16"/>
    </row>
    <row r="111" spans="1:4" ht="12.75">
      <c r="A111" s="32" t="s">
        <v>106</v>
      </c>
      <c r="D111" s="5"/>
    </row>
  </sheetData>
  <sheetProtection/>
  <mergeCells count="2">
    <mergeCell ref="A6:H6"/>
    <mergeCell ref="E1:H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6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Ruser</cp:lastModifiedBy>
  <cp:lastPrinted>2021-03-17T03:54:10Z</cp:lastPrinted>
  <dcterms:created xsi:type="dcterms:W3CDTF">2005-12-27T06:54:28Z</dcterms:created>
  <dcterms:modified xsi:type="dcterms:W3CDTF">2021-03-17T03:54:42Z</dcterms:modified>
  <cp:category/>
  <cp:version/>
  <cp:contentType/>
  <cp:contentStatus/>
</cp:coreProperties>
</file>